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wasa.sharepoint.com/teams/HE_FRANCESCA_internal/Shared Documents/WP4 - Business models/t4.1 circular business model toolkit/phase 2 - concept development/FURNITURE TOOLKIT/5. Design &amp; Development/5.3 Circular value capture tool/Final/"/>
    </mc:Choice>
  </mc:AlternateContent>
  <xr:revisionPtr revIDLastSave="39" documentId="8_{D0157827-00B5-4094-872E-1A179E0F437A}" xr6:coauthVersionLast="47" xr6:coauthVersionMax="47" xr10:uidLastSave="{8992042F-1C6D-4D87-8579-11346B832FAE}"/>
  <bookViews>
    <workbookView xWindow="14055" yWindow="-21720" windowWidth="51840" windowHeight="21120" tabRatio="674" firstSheet="4" activeTab="7" xr2:uid="{00000000-000D-0000-FFFF-FFFF00000000}"/>
  </bookViews>
  <sheets>
    <sheet name="Introduction" sheetId="2" r:id="rId1"/>
    <sheet name="Current_Linear" sheetId="3" r:id="rId2"/>
    <sheet name="1. Repair_Maintain" sheetId="4" r:id="rId3"/>
    <sheet name="2. Resell" sheetId="5" r:id="rId4"/>
    <sheet name="3. Remanufacture" sheetId="6" r:id="rId5"/>
    <sheet name="4. FaaS_Subscription" sheetId="7" r:id="rId6"/>
    <sheet name="Value Case Summary" sheetId="8" r:id="rId7"/>
    <sheet name="Circular Impact Dashboard" sheetId="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4" i="8" l="1"/>
  <c r="F134" i="8"/>
  <c r="B134" i="8"/>
  <c r="B67" i="8"/>
  <c r="E48" i="8"/>
  <c r="E46" i="8"/>
  <c r="G28" i="8"/>
  <c r="E28" i="8"/>
  <c r="E14" i="8"/>
  <c r="G58" i="6"/>
  <c r="C142" i="8" s="1"/>
  <c r="C53" i="6"/>
  <c r="G134" i="8" s="1"/>
  <c r="C52" i="6"/>
  <c r="C51" i="6"/>
  <c r="C134" i="8" s="1"/>
  <c r="C50" i="6"/>
  <c r="G35" i="6"/>
  <c r="F35" i="6"/>
  <c r="E35" i="6"/>
  <c r="D35" i="6"/>
  <c r="C35" i="6"/>
  <c r="G33" i="6"/>
  <c r="F33" i="6"/>
  <c r="E33" i="6"/>
  <c r="D33" i="6"/>
  <c r="C33" i="6"/>
  <c r="G31" i="6"/>
  <c r="F31" i="6"/>
  <c r="E31" i="6"/>
  <c r="D31" i="6"/>
  <c r="C31" i="6"/>
  <c r="G29" i="6"/>
  <c r="F29" i="6"/>
  <c r="E29" i="6"/>
  <c r="D29" i="6"/>
  <c r="C29" i="6"/>
  <c r="G27" i="6"/>
  <c r="F27" i="6"/>
  <c r="E27" i="6"/>
  <c r="E6" i="6" s="1"/>
  <c r="E26" i="8" s="1"/>
  <c r="D27" i="6"/>
  <c r="C27" i="6"/>
  <c r="G25" i="6"/>
  <c r="F25" i="6"/>
  <c r="E25" i="6"/>
  <c r="D25" i="6"/>
  <c r="C25" i="6"/>
  <c r="G23" i="6"/>
  <c r="G6" i="6" s="1"/>
  <c r="F23" i="6"/>
  <c r="E23" i="6"/>
  <c r="D23" i="6"/>
  <c r="C23" i="6"/>
  <c r="G19" i="6"/>
  <c r="F19" i="6"/>
  <c r="F5" i="6" s="1"/>
  <c r="F59" i="6" s="1"/>
  <c r="F63" i="6" s="1"/>
  <c r="F67" i="6" s="1"/>
  <c r="E19" i="6"/>
  <c r="D19" i="6"/>
  <c r="D5" i="6" s="1"/>
  <c r="C19" i="6"/>
  <c r="G8" i="6"/>
  <c r="F8" i="6"/>
  <c r="F28" i="8" s="1"/>
  <c r="E8" i="6"/>
  <c r="D8" i="6"/>
  <c r="D28" i="8" s="1"/>
  <c r="C8" i="6"/>
  <c r="C28" i="8" s="1"/>
  <c r="F6" i="6"/>
  <c r="F26" i="8" s="1"/>
  <c r="C6" i="6"/>
  <c r="C26" i="8" s="1"/>
  <c r="G5" i="6"/>
  <c r="E5" i="6"/>
  <c r="E57" i="6" s="1"/>
  <c r="E61" i="6" s="1"/>
  <c r="E65" i="6" s="1"/>
  <c r="C5" i="6"/>
  <c r="C57" i="5"/>
  <c r="E53" i="5"/>
  <c r="C45" i="5"/>
  <c r="G31" i="5"/>
  <c r="F31" i="5"/>
  <c r="E31" i="5"/>
  <c r="D31" i="5"/>
  <c r="C31" i="5"/>
  <c r="G29" i="5"/>
  <c r="F29" i="5"/>
  <c r="E29" i="5"/>
  <c r="D29" i="5"/>
  <c r="C29" i="5"/>
  <c r="G27" i="5"/>
  <c r="F27" i="5"/>
  <c r="E27" i="5"/>
  <c r="D27" i="5"/>
  <c r="C27" i="5"/>
  <c r="G25" i="5"/>
  <c r="F25" i="5"/>
  <c r="F6" i="5" s="1"/>
  <c r="F19" i="8" s="1"/>
  <c r="E25" i="5"/>
  <c r="D25" i="5"/>
  <c r="D6" i="5" s="1"/>
  <c r="D19" i="8" s="1"/>
  <c r="C25" i="5"/>
  <c r="G21" i="5"/>
  <c r="F21" i="5"/>
  <c r="E21" i="5"/>
  <c r="D21" i="5"/>
  <c r="C21" i="5"/>
  <c r="G19" i="5"/>
  <c r="F19" i="5"/>
  <c r="F5" i="5" s="1"/>
  <c r="E19" i="5"/>
  <c r="D19" i="5"/>
  <c r="C19" i="5"/>
  <c r="C9" i="5"/>
  <c r="G8" i="5"/>
  <c r="E45" i="8" s="1"/>
  <c r="F8" i="5"/>
  <c r="F21" i="8" s="1"/>
  <c r="E8" i="5"/>
  <c r="E21" i="8" s="1"/>
  <c r="D8" i="5"/>
  <c r="D21" i="8" s="1"/>
  <c r="C8" i="5"/>
  <c r="C21" i="8" s="1"/>
  <c r="C7" i="5"/>
  <c r="B74" i="8" s="1"/>
  <c r="C6" i="5"/>
  <c r="C19" i="8" s="1"/>
  <c r="G5" i="5"/>
  <c r="G18" i="8" s="1"/>
  <c r="E5" i="5"/>
  <c r="E18" i="8" s="1"/>
  <c r="C5" i="5"/>
  <c r="C18" i="8" s="1"/>
  <c r="C51" i="4"/>
  <c r="F19" i="1" s="1"/>
  <c r="G37" i="4"/>
  <c r="F37" i="4"/>
  <c r="E37" i="4"/>
  <c r="D37" i="4"/>
  <c r="C37" i="4"/>
  <c r="G34" i="4"/>
  <c r="F34" i="4"/>
  <c r="E34" i="4"/>
  <c r="D34" i="4"/>
  <c r="C34" i="4"/>
  <c r="G32" i="4"/>
  <c r="F32" i="4"/>
  <c r="E32" i="4"/>
  <c r="E6" i="4" s="1"/>
  <c r="E12" i="8" s="1"/>
  <c r="D32" i="4"/>
  <c r="C32" i="4"/>
  <c r="G30" i="4"/>
  <c r="F30" i="4"/>
  <c r="E30" i="4"/>
  <c r="D30" i="4"/>
  <c r="D6" i="4" s="1"/>
  <c r="D12" i="8" s="1"/>
  <c r="C30" i="4"/>
  <c r="G26" i="4"/>
  <c r="F26" i="4"/>
  <c r="E26" i="4"/>
  <c r="D26" i="4"/>
  <c r="C26" i="4"/>
  <c r="G24" i="4"/>
  <c r="F24" i="4"/>
  <c r="E24" i="4"/>
  <c r="D24" i="4"/>
  <c r="C24" i="4"/>
  <c r="G22" i="4"/>
  <c r="F22" i="4"/>
  <c r="E22" i="4"/>
  <c r="D22" i="4"/>
  <c r="C22" i="4"/>
  <c r="G19" i="4"/>
  <c r="F19" i="4"/>
  <c r="F5" i="4" s="1"/>
  <c r="E19" i="4"/>
  <c r="D19" i="4"/>
  <c r="C19" i="4"/>
  <c r="G8" i="4"/>
  <c r="E44" i="8" s="1"/>
  <c r="F8" i="4"/>
  <c r="F14" i="8" s="1"/>
  <c r="E8" i="4"/>
  <c r="D8" i="4"/>
  <c r="D14" i="8" s="1"/>
  <c r="C8" i="4"/>
  <c r="C14" i="8" s="1"/>
  <c r="G5" i="4"/>
  <c r="E5" i="4"/>
  <c r="G36" i="3"/>
  <c r="F36" i="3"/>
  <c r="E36" i="3"/>
  <c r="D36" i="3"/>
  <c r="C36" i="3"/>
  <c r="G34" i="3"/>
  <c r="F34" i="3"/>
  <c r="E34" i="3"/>
  <c r="D34" i="3"/>
  <c r="C34" i="3"/>
  <c r="G32" i="3"/>
  <c r="G6" i="3" s="1"/>
  <c r="F32" i="3"/>
  <c r="E32" i="3"/>
  <c r="D32" i="3"/>
  <c r="C32" i="3"/>
  <c r="G30" i="3"/>
  <c r="F30" i="3"/>
  <c r="E30" i="3"/>
  <c r="D30" i="3"/>
  <c r="C30" i="3"/>
  <c r="G28" i="3"/>
  <c r="F28" i="3"/>
  <c r="E28" i="3"/>
  <c r="D28" i="3"/>
  <c r="C28" i="3"/>
  <c r="G26" i="3"/>
  <c r="F26" i="3"/>
  <c r="E26" i="3"/>
  <c r="D26" i="3"/>
  <c r="D6" i="3" s="1"/>
  <c r="D5" i="8" s="1"/>
  <c r="C26" i="3"/>
  <c r="C6" i="3" s="1"/>
  <c r="C5" i="8" s="1"/>
  <c r="G22" i="3"/>
  <c r="F22" i="3"/>
  <c r="E22" i="3"/>
  <c r="D22" i="3"/>
  <c r="C22" i="3"/>
  <c r="C5" i="3" s="1"/>
  <c r="G19" i="3"/>
  <c r="F19" i="3"/>
  <c r="F5" i="3" s="1"/>
  <c r="E19" i="3"/>
  <c r="E5" i="3" s="1"/>
  <c r="D19" i="3"/>
  <c r="D5" i="3" s="1"/>
  <c r="C19" i="3"/>
  <c r="G8" i="3"/>
  <c r="G7" i="8" s="1"/>
  <c r="F8" i="3"/>
  <c r="F7" i="8" s="1"/>
  <c r="E8" i="3"/>
  <c r="E7" i="8" s="1"/>
  <c r="D8" i="3"/>
  <c r="D7" i="8" s="1"/>
  <c r="C8" i="3"/>
  <c r="C7" i="8" s="1"/>
  <c r="F6" i="3"/>
  <c r="F5" i="8" s="1"/>
  <c r="G5" i="3"/>
  <c r="G4" i="8" s="1"/>
  <c r="G41" i="1"/>
  <c r="F41" i="1"/>
  <c r="E41" i="1"/>
  <c r="D41" i="1"/>
  <c r="C41" i="1"/>
  <c r="G40" i="1"/>
  <c r="E40" i="1"/>
  <c r="C40" i="1"/>
  <c r="G39" i="1"/>
  <c r="E39" i="1"/>
  <c r="N31" i="1"/>
  <c r="D26" i="1"/>
  <c r="D25" i="1"/>
  <c r="D24" i="1"/>
  <c r="F20" i="1"/>
  <c r="H20" i="1" s="1"/>
  <c r="J18" i="1"/>
  <c r="H18" i="1"/>
  <c r="F18" i="1"/>
  <c r="F16" i="1"/>
  <c r="J14" i="1"/>
  <c r="H14" i="1"/>
  <c r="F14" i="1"/>
  <c r="D14" i="1"/>
  <c r="J13" i="1"/>
  <c r="F13" i="1"/>
  <c r="H13" i="1" s="1"/>
  <c r="J12" i="1"/>
  <c r="F12" i="1"/>
  <c r="H12" i="1" s="1"/>
  <c r="F11" i="1"/>
  <c r="C66" i="7"/>
  <c r="C60" i="7"/>
  <c r="F135" i="8" s="1"/>
  <c r="C59" i="7"/>
  <c r="C135" i="8" s="1"/>
  <c r="C58" i="7"/>
  <c r="H135" i="8" s="1"/>
  <c r="G38" i="7"/>
  <c r="F38" i="7"/>
  <c r="E38" i="7"/>
  <c r="D38" i="7"/>
  <c r="C38" i="7"/>
  <c r="G36" i="7"/>
  <c r="F36" i="7"/>
  <c r="F6" i="7" s="1"/>
  <c r="F33" i="8" s="1"/>
  <c r="E36" i="7"/>
  <c r="D36" i="7"/>
  <c r="C36" i="7"/>
  <c r="G34" i="7"/>
  <c r="F34" i="7"/>
  <c r="E34" i="7"/>
  <c r="D34" i="7"/>
  <c r="C34" i="7"/>
  <c r="C6" i="7" s="1"/>
  <c r="G32" i="7"/>
  <c r="F32" i="7"/>
  <c r="E32" i="7"/>
  <c r="D32" i="7"/>
  <c r="C32" i="7"/>
  <c r="G30" i="7"/>
  <c r="F30" i="7"/>
  <c r="E30" i="7"/>
  <c r="D30" i="7"/>
  <c r="C30" i="7"/>
  <c r="G28" i="7"/>
  <c r="F28" i="7"/>
  <c r="E28" i="7"/>
  <c r="D28" i="7"/>
  <c r="C28" i="7"/>
  <c r="G26" i="7"/>
  <c r="G6" i="7" s="1"/>
  <c r="F26" i="7"/>
  <c r="E26" i="7"/>
  <c r="D26" i="7"/>
  <c r="D6" i="7" s="1"/>
  <c r="D33" i="8" s="1"/>
  <c r="C26" i="7"/>
  <c r="G22" i="7"/>
  <c r="G5" i="7" s="1"/>
  <c r="F22" i="7"/>
  <c r="E22" i="7"/>
  <c r="D22" i="7"/>
  <c r="C22" i="7"/>
  <c r="G19" i="7"/>
  <c r="F19" i="7"/>
  <c r="F5" i="7" s="1"/>
  <c r="E19" i="7"/>
  <c r="D19" i="7"/>
  <c r="D5" i="7" s="1"/>
  <c r="C19" i="7"/>
  <c r="G8" i="7"/>
  <c r="F8" i="7"/>
  <c r="F35" i="8" s="1"/>
  <c r="E8" i="7"/>
  <c r="E35" i="8" s="1"/>
  <c r="D8" i="7"/>
  <c r="D35" i="8" s="1"/>
  <c r="C8" i="7"/>
  <c r="F7" i="7"/>
  <c r="E5" i="7"/>
  <c r="D67" i="8" s="1"/>
  <c r="C5" i="7"/>
  <c r="C32" i="8" s="1"/>
  <c r="C33" i="8" l="1"/>
  <c r="C7" i="7"/>
  <c r="J16" i="1"/>
  <c r="H16" i="1"/>
  <c r="B63" i="8"/>
  <c r="C4" i="8"/>
  <c r="C7" i="3"/>
  <c r="C81" i="8"/>
  <c r="G5" i="8"/>
  <c r="C43" i="8"/>
  <c r="J19" i="1"/>
  <c r="H19" i="1"/>
  <c r="F34" i="8"/>
  <c r="E76" i="8"/>
  <c r="F70" i="7"/>
  <c r="F9" i="7"/>
  <c r="D32" i="8"/>
  <c r="D67" i="7"/>
  <c r="D71" i="7" s="1"/>
  <c r="D75" i="7" s="1"/>
  <c r="D7" i="7"/>
  <c r="D42" i="1"/>
  <c r="D65" i="7"/>
  <c r="D69" i="7" s="1"/>
  <c r="D73" i="7" s="1"/>
  <c r="C67" i="8"/>
  <c r="D66" i="7"/>
  <c r="F32" i="8"/>
  <c r="E67" i="8"/>
  <c r="F42" i="1"/>
  <c r="F65" i="7"/>
  <c r="F69" i="7" s="1"/>
  <c r="F73" i="7" s="1"/>
  <c r="F66" i="7"/>
  <c r="F48" i="1"/>
  <c r="E6" i="7"/>
  <c r="E33" i="8" s="1"/>
  <c r="J11" i="1"/>
  <c r="H11" i="1"/>
  <c r="B47" i="8"/>
  <c r="G66" i="7"/>
  <c r="C143" i="8" s="1"/>
  <c r="G32" i="8"/>
  <c r="F67" i="8"/>
  <c r="G7" i="7"/>
  <c r="G48" i="1" s="1"/>
  <c r="B85" i="8"/>
  <c r="G42" i="1"/>
  <c r="G65" i="7"/>
  <c r="D4" i="8"/>
  <c r="C63" i="8"/>
  <c r="D7" i="3"/>
  <c r="D6" i="1"/>
  <c r="C85" i="8"/>
  <c r="G33" i="8"/>
  <c r="C47" i="8"/>
  <c r="E4" i="8"/>
  <c r="D63" i="8"/>
  <c r="F11" i="8"/>
  <c r="E64" i="8"/>
  <c r="F59" i="4"/>
  <c r="F39" i="1"/>
  <c r="E63" i="8"/>
  <c r="F4" i="8"/>
  <c r="F7" i="3"/>
  <c r="E65" i="7"/>
  <c r="E69" i="7" s="1"/>
  <c r="E73" i="7" s="1"/>
  <c r="C67" i="7"/>
  <c r="C71" i="7" s="1"/>
  <c r="C75" i="7" s="1"/>
  <c r="C79" i="7" s="1"/>
  <c r="E7" i="7"/>
  <c r="J6" i="1"/>
  <c r="J20" i="1"/>
  <c r="N27" i="1"/>
  <c r="E48" i="1"/>
  <c r="C6" i="4"/>
  <c r="C12" i="8" s="1"/>
  <c r="D5" i="5"/>
  <c r="E6" i="5"/>
  <c r="C61" i="5"/>
  <c r="F66" i="8"/>
  <c r="G25" i="8"/>
  <c r="G59" i="6"/>
  <c r="G57" i="6"/>
  <c r="B84" i="8"/>
  <c r="G7" i="6"/>
  <c r="E58" i="6"/>
  <c r="C20" i="8"/>
  <c r="E66" i="8"/>
  <c r="B81" i="8"/>
  <c r="F63" i="8"/>
  <c r="E59" i="4"/>
  <c r="F18" i="8"/>
  <c r="F53" i="5"/>
  <c r="D58" i="6"/>
  <c r="D59" i="6"/>
  <c r="C84" i="8"/>
  <c r="C46" i="8"/>
  <c r="C59" i="6"/>
  <c r="C63" i="6" s="1"/>
  <c r="C67" i="6" s="1"/>
  <c r="C71" i="6" s="1"/>
  <c r="C35" i="8"/>
  <c r="B43" i="8"/>
  <c r="B135" i="8"/>
  <c r="C61" i="7"/>
  <c r="G67" i="7" s="1"/>
  <c r="E66" i="7"/>
  <c r="F5" i="1"/>
  <c r="D27" i="1"/>
  <c r="E6" i="3"/>
  <c r="E5" i="8" s="1"/>
  <c r="F6" i="4"/>
  <c r="F12" i="8" s="1"/>
  <c r="F7" i="5"/>
  <c r="G53" i="5"/>
  <c r="C141" i="8" s="1"/>
  <c r="C7" i="6"/>
  <c r="D25" i="8"/>
  <c r="E32" i="8"/>
  <c r="E43" i="8"/>
  <c r="C42" i="1"/>
  <c r="G45" i="1"/>
  <c r="C5" i="4"/>
  <c r="G6" i="4"/>
  <c r="C53" i="4"/>
  <c r="F132" i="8" s="1"/>
  <c r="B132" i="8"/>
  <c r="C52" i="4"/>
  <c r="C132" i="8" s="1"/>
  <c r="G59" i="4"/>
  <c r="C140" i="8" s="1"/>
  <c r="C53" i="5"/>
  <c r="E7" i="6"/>
  <c r="F58" i="6"/>
  <c r="F57" i="6"/>
  <c r="F61" i="6" s="1"/>
  <c r="F65" i="6" s="1"/>
  <c r="F25" i="8"/>
  <c r="B65" i="8"/>
  <c r="B83" i="8"/>
  <c r="H132" i="8"/>
  <c r="C10" i="5"/>
  <c r="C65" i="7"/>
  <c r="C69" i="7" s="1"/>
  <c r="C73" i="7" s="1"/>
  <c r="C77" i="7" s="1"/>
  <c r="D77" i="7" s="1"/>
  <c r="B6" i="1"/>
  <c r="F40" i="1"/>
  <c r="C46" i="1"/>
  <c r="C54" i="4"/>
  <c r="G132" i="8" s="1"/>
  <c r="G6" i="5"/>
  <c r="B133" i="8"/>
  <c r="H133" i="8"/>
  <c r="C47" i="5"/>
  <c r="C46" i="5"/>
  <c r="C133" i="8" s="1"/>
  <c r="F7" i="6"/>
  <c r="D57" i="6"/>
  <c r="G14" i="8"/>
  <c r="C22" i="8"/>
  <c r="D65" i="8"/>
  <c r="F64" i="8"/>
  <c r="B48" i="8"/>
  <c r="G60" i="4"/>
  <c r="B82" i="8"/>
  <c r="E7" i="4"/>
  <c r="E45" i="1" s="1"/>
  <c r="F65" i="8"/>
  <c r="G7" i="5"/>
  <c r="C48" i="5"/>
  <c r="G133" i="8" s="1"/>
  <c r="C57" i="6"/>
  <c r="C61" i="6" s="1"/>
  <c r="C65" i="6" s="1"/>
  <c r="C69" i="6" s="1"/>
  <c r="B66" i="8"/>
  <c r="C25" i="8"/>
  <c r="G11" i="8"/>
  <c r="E65" i="8"/>
  <c r="F15" i="1"/>
  <c r="E42" i="1"/>
  <c r="C48" i="1"/>
  <c r="G35" i="8"/>
  <c r="E47" i="8"/>
  <c r="G7" i="3"/>
  <c r="E11" i="8"/>
  <c r="E58" i="4"/>
  <c r="E62" i="4" s="1"/>
  <c r="E66" i="4" s="1"/>
  <c r="D64" i="8"/>
  <c r="G7" i="4"/>
  <c r="D5" i="4"/>
  <c r="D66" i="8"/>
  <c r="E25" i="8"/>
  <c r="E59" i="6"/>
  <c r="E63" i="6" s="1"/>
  <c r="E67" i="6" s="1"/>
  <c r="D6" i="6"/>
  <c r="D26" i="8" s="1"/>
  <c r="C58" i="6"/>
  <c r="G26" i="8"/>
  <c r="B45" i="8"/>
  <c r="C66" i="8"/>
  <c r="G21" i="8"/>
  <c r="D143" i="8" l="1"/>
  <c r="G71" i="7"/>
  <c r="C65" i="5"/>
  <c r="C55" i="8"/>
  <c r="C23" i="8"/>
  <c r="F133" i="8"/>
  <c r="G52" i="5"/>
  <c r="G54" i="5"/>
  <c r="D48" i="8"/>
  <c r="G13" i="8"/>
  <c r="G9" i="4"/>
  <c r="H6" i="1"/>
  <c r="D44" i="8"/>
  <c r="G63" i="4"/>
  <c r="F140" i="8" s="1"/>
  <c r="F17" i="1"/>
  <c r="D82" i="8"/>
  <c r="F24" i="1"/>
  <c r="F73" i="8"/>
  <c r="G58" i="4"/>
  <c r="D61" i="6"/>
  <c r="D65" i="6" s="1"/>
  <c r="D69" i="6" s="1"/>
  <c r="E69" i="6" s="1"/>
  <c r="F69" i="6" s="1"/>
  <c r="C83" i="8"/>
  <c r="C45" i="8"/>
  <c r="G19" i="8"/>
  <c r="E77" i="7"/>
  <c r="F77" i="7" s="1"/>
  <c r="D34" i="8"/>
  <c r="C76" i="8"/>
  <c r="D9" i="7"/>
  <c r="D70" i="7"/>
  <c r="E52" i="5"/>
  <c r="E56" i="5" s="1"/>
  <c r="E60" i="5" s="1"/>
  <c r="E19" i="8"/>
  <c r="E7" i="5"/>
  <c r="E67" i="7"/>
  <c r="E71" i="7" s="1"/>
  <c r="E75" i="7" s="1"/>
  <c r="F60" i="4"/>
  <c r="F64" i="4" s="1"/>
  <c r="F68" i="4" s="1"/>
  <c r="F76" i="8"/>
  <c r="D47" i="8"/>
  <c r="F27" i="1"/>
  <c r="G70" i="7"/>
  <c r="F143" i="8" s="1"/>
  <c r="G9" i="7"/>
  <c r="D85" i="8"/>
  <c r="G34" i="8"/>
  <c r="D48" i="1"/>
  <c r="G64" i="4"/>
  <c r="D140" i="8"/>
  <c r="E54" i="5"/>
  <c r="E58" i="5" s="1"/>
  <c r="E62" i="5" s="1"/>
  <c r="C27" i="8"/>
  <c r="C62" i="6"/>
  <c r="B75" i="8"/>
  <c r="C9" i="6"/>
  <c r="C47" i="1"/>
  <c r="F31" i="1"/>
  <c r="G62" i="6"/>
  <c r="F142" i="8" s="1"/>
  <c r="D46" i="8"/>
  <c r="D84" i="8"/>
  <c r="F26" i="1"/>
  <c r="F75" i="8"/>
  <c r="G9" i="6"/>
  <c r="G47" i="1"/>
  <c r="G27" i="8"/>
  <c r="C65" i="8"/>
  <c r="D7" i="5"/>
  <c r="D18" i="8"/>
  <c r="D53" i="5"/>
  <c r="D52" i="5"/>
  <c r="D56" i="5" s="1"/>
  <c r="D60" i="5" s="1"/>
  <c r="D54" i="5"/>
  <c r="D58" i="5" s="1"/>
  <c r="D62" i="5" s="1"/>
  <c r="D40" i="1"/>
  <c r="D46" i="1"/>
  <c r="D76" i="8"/>
  <c r="E9" i="7"/>
  <c r="E70" i="7"/>
  <c r="E34" i="8"/>
  <c r="F7" i="4"/>
  <c r="D9" i="3"/>
  <c r="D8" i="8" s="1"/>
  <c r="C72" i="8"/>
  <c r="D6" i="8"/>
  <c r="F52" i="5"/>
  <c r="F56" i="5" s="1"/>
  <c r="F60" i="5" s="1"/>
  <c r="D43" i="8"/>
  <c r="F72" i="8"/>
  <c r="D17" i="1"/>
  <c r="G6" i="8"/>
  <c r="D81" i="8"/>
  <c r="G9" i="3"/>
  <c r="G57" i="5"/>
  <c r="F141" i="8" s="1"/>
  <c r="F74" i="8"/>
  <c r="G20" i="8"/>
  <c r="D83" i="8"/>
  <c r="G9" i="5"/>
  <c r="G46" i="1"/>
  <c r="D45" i="8"/>
  <c r="F25" i="1"/>
  <c r="C44" i="8"/>
  <c r="C82" i="8"/>
  <c r="C48" i="8"/>
  <c r="G12" i="8"/>
  <c r="G135" i="8"/>
  <c r="F67" i="7"/>
  <c r="F71" i="7" s="1"/>
  <c r="F75" i="7" s="1"/>
  <c r="D63" i="6"/>
  <c r="D67" i="6" s="1"/>
  <c r="D71" i="6" s="1"/>
  <c r="E71" i="6" s="1"/>
  <c r="F71" i="6" s="1"/>
  <c r="F6" i="1"/>
  <c r="E60" i="4"/>
  <c r="E64" i="4" s="1"/>
  <c r="E68" i="4" s="1"/>
  <c r="E27" i="8"/>
  <c r="E62" i="6"/>
  <c r="E9" i="6"/>
  <c r="D75" i="8"/>
  <c r="E47" i="1"/>
  <c r="F9" i="5"/>
  <c r="E74" i="8"/>
  <c r="F20" i="8"/>
  <c r="F57" i="5"/>
  <c r="F46" i="1"/>
  <c r="G61" i="6"/>
  <c r="B142" i="8"/>
  <c r="D79" i="7"/>
  <c r="E79" i="7" s="1"/>
  <c r="F58" i="4"/>
  <c r="F62" i="4" s="1"/>
  <c r="F66" i="4" s="1"/>
  <c r="E7" i="3"/>
  <c r="F36" i="8"/>
  <c r="F74" i="7"/>
  <c r="H15" i="1"/>
  <c r="J15" i="1"/>
  <c r="E75" i="8"/>
  <c r="F9" i="6"/>
  <c r="F27" i="8"/>
  <c r="F47" i="1"/>
  <c r="F62" i="6"/>
  <c r="D7" i="6"/>
  <c r="G63" i="6"/>
  <c r="D142" i="8"/>
  <c r="B31" i="1"/>
  <c r="C34" i="8"/>
  <c r="B76" i="8"/>
  <c r="C70" i="7"/>
  <c r="C9" i="7"/>
  <c r="C60" i="4"/>
  <c r="C64" i="4" s="1"/>
  <c r="C68" i="4" s="1"/>
  <c r="C72" i="4" s="1"/>
  <c r="C11" i="8"/>
  <c r="C59" i="4"/>
  <c r="C58" i="4"/>
  <c r="C62" i="4" s="1"/>
  <c r="C66" i="4" s="1"/>
  <c r="C70" i="4" s="1"/>
  <c r="D70" i="4" s="1"/>
  <c r="E70" i="4" s="1"/>
  <c r="F70" i="4" s="1"/>
  <c r="C39" i="1"/>
  <c r="C7" i="4"/>
  <c r="B64" i="8"/>
  <c r="C52" i="5"/>
  <c r="C56" i="5" s="1"/>
  <c r="C60" i="5" s="1"/>
  <c r="C64" i="5" s="1"/>
  <c r="D64" i="5" s="1"/>
  <c r="E64" i="5" s="1"/>
  <c r="F64" i="5" s="1"/>
  <c r="D59" i="4"/>
  <c r="C64" i="8"/>
  <c r="D58" i="4"/>
  <c r="D62" i="4" s="1"/>
  <c r="D66" i="4" s="1"/>
  <c r="D39" i="1"/>
  <c r="D60" i="4"/>
  <c r="D64" i="4" s="1"/>
  <c r="D68" i="4" s="1"/>
  <c r="D7" i="4"/>
  <c r="D11" i="8"/>
  <c r="E63" i="4"/>
  <c r="D73" i="8"/>
  <c r="E9" i="4"/>
  <c r="E13" i="8"/>
  <c r="C54" i="5"/>
  <c r="C58" i="5" s="1"/>
  <c r="C62" i="5" s="1"/>
  <c r="C66" i="5" s="1"/>
  <c r="D66" i="5" s="1"/>
  <c r="E66" i="5" s="1"/>
  <c r="F66" i="5" s="1"/>
  <c r="F54" i="5"/>
  <c r="F58" i="5" s="1"/>
  <c r="F62" i="5" s="1"/>
  <c r="F6" i="8"/>
  <c r="F9" i="3"/>
  <c r="F8" i="8" s="1"/>
  <c r="E72" i="8"/>
  <c r="B143" i="8"/>
  <c r="G69" i="7"/>
  <c r="B72" i="8"/>
  <c r="C9" i="3"/>
  <c r="C6" i="8"/>
  <c r="G71" i="6" l="1"/>
  <c r="D9" i="4"/>
  <c r="C73" i="8"/>
  <c r="D63" i="4"/>
  <c r="D13" i="8"/>
  <c r="E142" i="8"/>
  <c r="G65" i="6"/>
  <c r="G69" i="6" s="1"/>
  <c r="E66" i="6"/>
  <c r="E29" i="8"/>
  <c r="G22" i="8"/>
  <c r="E83" i="8"/>
  <c r="G61" i="5"/>
  <c r="F45" i="8"/>
  <c r="F47" i="8"/>
  <c r="G36" i="8"/>
  <c r="G74" i="7"/>
  <c r="E85" i="8"/>
  <c r="J17" i="1"/>
  <c r="H17" i="1"/>
  <c r="B141" i="8"/>
  <c r="G56" i="5"/>
  <c r="G67" i="6"/>
  <c r="G142" i="8"/>
  <c r="C13" i="8"/>
  <c r="B73" i="8"/>
  <c r="C9" i="4"/>
  <c r="C63" i="4"/>
  <c r="D72" i="4"/>
  <c r="E72" i="4" s="1"/>
  <c r="F72" i="4" s="1"/>
  <c r="G72" i="4" s="1"/>
  <c r="C75" i="8"/>
  <c r="D62" i="6"/>
  <c r="D9" i="6"/>
  <c r="F10" i="6" s="1"/>
  <c r="D27" i="8"/>
  <c r="D47" i="1"/>
  <c r="E36" i="8"/>
  <c r="E74" i="7"/>
  <c r="D20" i="8"/>
  <c r="D57" i="5"/>
  <c r="C74" i="8"/>
  <c r="D9" i="5"/>
  <c r="C8" i="8"/>
  <c r="C10" i="3"/>
  <c r="D10" i="3"/>
  <c r="E143" i="8"/>
  <c r="G73" i="7"/>
  <c r="G77" i="7" s="1"/>
  <c r="E15" i="8"/>
  <c r="E67" i="4"/>
  <c r="C45" i="1"/>
  <c r="C74" i="7"/>
  <c r="E10" i="7"/>
  <c r="D10" i="7"/>
  <c r="C10" i="7"/>
  <c r="C36" i="8"/>
  <c r="F10" i="7"/>
  <c r="G10" i="7"/>
  <c r="D36" i="8"/>
  <c r="D74" i="7"/>
  <c r="D72" i="8"/>
  <c r="E6" i="8"/>
  <c r="E9" i="3"/>
  <c r="E8" i="8" s="1"/>
  <c r="G140" i="8"/>
  <c r="G68" i="4"/>
  <c r="B140" i="8"/>
  <c r="G62" i="4"/>
  <c r="E82" i="8"/>
  <c r="G15" i="8"/>
  <c r="F44" i="8"/>
  <c r="G67" i="4"/>
  <c r="F48" i="8"/>
  <c r="F22" i="8"/>
  <c r="F61" i="5"/>
  <c r="F43" i="8"/>
  <c r="E81" i="8"/>
  <c r="G8" i="8"/>
  <c r="D45" i="1"/>
  <c r="F66" i="6"/>
  <c r="F29" i="8"/>
  <c r="F79" i="7"/>
  <c r="E84" i="8"/>
  <c r="F46" i="8"/>
  <c r="G29" i="8"/>
  <c r="G66" i="6"/>
  <c r="C29" i="8"/>
  <c r="C10" i="6"/>
  <c r="C66" i="6"/>
  <c r="G143" i="8"/>
  <c r="G75" i="7"/>
  <c r="E73" i="8"/>
  <c r="F13" i="8"/>
  <c r="F9" i="4"/>
  <c r="F63" i="4"/>
  <c r="F45" i="1"/>
  <c r="E57" i="5"/>
  <c r="E9" i="5"/>
  <c r="E46" i="1"/>
  <c r="E20" i="8"/>
  <c r="D74" i="8"/>
  <c r="D141" i="8"/>
  <c r="G58" i="5"/>
  <c r="H142" i="8" l="1"/>
  <c r="J26" i="1"/>
  <c r="C73" i="6"/>
  <c r="K142" i="8" s="1"/>
  <c r="F30" i="8"/>
  <c r="F56" i="8"/>
  <c r="F70" i="6"/>
  <c r="H143" i="8"/>
  <c r="J27" i="1"/>
  <c r="C81" i="7"/>
  <c r="K143" i="8" s="1"/>
  <c r="F57" i="8"/>
  <c r="F37" i="8"/>
  <c r="F78" i="7"/>
  <c r="J142" i="8"/>
  <c r="C75" i="6"/>
  <c r="L142" i="8" s="1"/>
  <c r="D22" i="8"/>
  <c r="D61" i="5"/>
  <c r="F10" i="5"/>
  <c r="D10" i="5"/>
  <c r="G10" i="5"/>
  <c r="E10" i="5"/>
  <c r="D10" i="6"/>
  <c r="D37" i="8"/>
  <c r="D78" i="7"/>
  <c r="D57" i="8"/>
  <c r="D53" i="8"/>
  <c r="D9" i="8"/>
  <c r="G60" i="5"/>
  <c r="G64" i="5" s="1"/>
  <c r="E141" i="8"/>
  <c r="E37" i="8"/>
  <c r="E57" i="8"/>
  <c r="E78" i="7"/>
  <c r="E10" i="3"/>
  <c r="J140" i="8"/>
  <c r="C76" i="4"/>
  <c r="L140" i="8" s="1"/>
  <c r="E22" i="8"/>
  <c r="E61" i="5"/>
  <c r="D66" i="6"/>
  <c r="D29" i="8"/>
  <c r="G10" i="6"/>
  <c r="C57" i="8"/>
  <c r="C37" i="8"/>
  <c r="C78" i="7"/>
  <c r="G62" i="5"/>
  <c r="G66" i="5" s="1"/>
  <c r="G141" i="8"/>
  <c r="F67" i="4"/>
  <c r="F15" i="8"/>
  <c r="G79" i="7"/>
  <c r="G66" i="4"/>
  <c r="G70" i="4" s="1"/>
  <c r="E140" i="8"/>
  <c r="F10" i="3"/>
  <c r="C56" i="8"/>
  <c r="C30" i="8"/>
  <c r="C70" i="6"/>
  <c r="G10" i="4"/>
  <c r="C10" i="4"/>
  <c r="E10" i="4"/>
  <c r="C15" i="8"/>
  <c r="C67" i="4"/>
  <c r="F10" i="4"/>
  <c r="D10" i="4"/>
  <c r="D15" i="8"/>
  <c r="D67" i="4"/>
  <c r="G10" i="3"/>
  <c r="E10" i="6"/>
  <c r="G37" i="8"/>
  <c r="G57" i="8"/>
  <c r="G47" i="8"/>
  <c r="G78" i="7"/>
  <c r="C11" i="7"/>
  <c r="C9" i="8"/>
  <c r="C53" i="8"/>
  <c r="H27" i="1" l="1"/>
  <c r="H37" i="8"/>
  <c r="L27" i="1"/>
  <c r="J31" i="1"/>
  <c r="D30" i="8"/>
  <c r="D56" i="8"/>
  <c r="D70" i="6"/>
  <c r="I143" i="8"/>
  <c r="C82" i="7"/>
  <c r="D16" i="8"/>
  <c r="D54" i="8"/>
  <c r="D71" i="4"/>
  <c r="E55" i="8"/>
  <c r="E23" i="8"/>
  <c r="E65" i="5"/>
  <c r="H140" i="8"/>
  <c r="J24" i="1"/>
  <c r="C74" i="4"/>
  <c r="K140" i="8" s="1"/>
  <c r="C71" i="4"/>
  <c r="C54" i="8"/>
  <c r="C16" i="8"/>
  <c r="J143" i="8"/>
  <c r="C83" i="7"/>
  <c r="L143" i="8" s="1"/>
  <c r="H141" i="8"/>
  <c r="J25" i="1"/>
  <c r="C68" i="5"/>
  <c r="K141" i="8" s="1"/>
  <c r="G65" i="5"/>
  <c r="G55" i="8"/>
  <c r="G45" i="8"/>
  <c r="G23" i="8"/>
  <c r="C11" i="5"/>
  <c r="E70" i="6"/>
  <c r="E56" i="8"/>
  <c r="E30" i="8"/>
  <c r="F54" i="8"/>
  <c r="F71" i="4"/>
  <c r="F16" i="8"/>
  <c r="J141" i="8"/>
  <c r="C70" i="5"/>
  <c r="L141" i="8" s="1"/>
  <c r="E54" i="8"/>
  <c r="E71" i="4"/>
  <c r="E16" i="8"/>
  <c r="E53" i="8"/>
  <c r="E9" i="8"/>
  <c r="G53" i="8"/>
  <c r="G9" i="8"/>
  <c r="G43" i="8"/>
  <c r="C11" i="3"/>
  <c r="H9" i="8" s="1"/>
  <c r="G70" i="6"/>
  <c r="G56" i="8"/>
  <c r="G46" i="8"/>
  <c r="G30" i="8"/>
  <c r="C11" i="6"/>
  <c r="G44" i="8"/>
  <c r="G71" i="4"/>
  <c r="G48" i="8"/>
  <c r="G16" i="8"/>
  <c r="G54" i="8"/>
  <c r="C11" i="4"/>
  <c r="F9" i="8"/>
  <c r="F53" i="8"/>
  <c r="D55" i="8"/>
  <c r="D23" i="8"/>
  <c r="D65" i="5"/>
  <c r="F65" i="5"/>
  <c r="F55" i="8"/>
  <c r="F23" i="8"/>
  <c r="H23" i="8" l="1"/>
  <c r="N25" i="1"/>
  <c r="L25" i="1"/>
  <c r="H25" i="1"/>
  <c r="H26" i="1"/>
  <c r="H30" i="8"/>
  <c r="N26" i="1"/>
  <c r="L26" i="1"/>
  <c r="I140" i="8"/>
  <c r="C75" i="4"/>
  <c r="H16" i="8"/>
  <c r="N24" i="1"/>
  <c r="H24" i="1"/>
  <c r="L24" i="1"/>
  <c r="I141" i="8"/>
  <c r="C69" i="5"/>
  <c r="I142" i="8"/>
  <c r="C74" i="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<sst xmlns="http://schemas.openxmlformats.org/spreadsheetml/2006/main" count="875" uniqueCount="489">
  <si>
    <t>CIRCULAR VALUE CAPTURE TOOL</t>
  </si>
  <si>
    <t>Tool overview</t>
  </si>
  <si>
    <t>Purpose</t>
  </si>
  <si>
    <t>Compare your current (linear) business model with circular alternatives for a selected product</t>
  </si>
  <si>
    <t>Scope</t>
  </si>
  <si>
    <t>Single product-level analysis (one product per file)</t>
  </si>
  <si>
    <t>CBMs included</t>
  </si>
  <si>
    <t>Repair &amp; Maintenance, Resell, Remanufacture, Furniture-as-a-Service (subscription)</t>
  </si>
  <si>
    <t>Baseline</t>
  </si>
  <si>
    <t>Current Linear Business Model (used as reference for comparison)</t>
  </si>
  <si>
    <t>Outputs</t>
  </si>
  <si>
    <t>Revenue, operating cost, EBITDA, investment, net cash flow, breakeven</t>
  </si>
  <si>
    <t>Time horizon</t>
  </si>
  <si>
    <t>5-year projection</t>
  </si>
  <si>
    <t>Intended users</t>
  </si>
  <si>
    <t>Furniture SMEs exploring circular business models</t>
  </si>
  <si>
    <t>What this tool is</t>
  </si>
  <si>
    <t>Structured financial exploration tool</t>
  </si>
  <si>
    <t>What this tool is NOT</t>
  </si>
  <si>
    <t>Not an accounting tool, not a precise financial forecast</t>
  </si>
  <si>
    <t>Usage note:</t>
  </si>
  <si>
    <t>This tool is designed for exploration. Use approximate values if exact data is not available.</t>
  </si>
  <si>
    <t>User guide</t>
  </si>
  <si>
    <t>Step</t>
  </si>
  <si>
    <t>Action</t>
  </si>
  <si>
    <t>Where</t>
  </si>
  <si>
    <t>Tip</t>
  </si>
  <si>
    <t>Enter current business data</t>
  </si>
  <si>
    <t>Current_Linear sheet</t>
  </si>
  <si>
    <t>Use realistic baseline values</t>
  </si>
  <si>
    <t>Select relevant CBMs to explore</t>
  </si>
  <si>
    <t>Choose 1–4 CBM sheets</t>
  </si>
  <si>
    <t>You don’t need to fill all CBMs</t>
  </si>
  <si>
    <t>Enter assumptions (yellow cells)</t>
  </si>
  <si>
    <t>Each CBM sheet</t>
  </si>
  <si>
    <t>Start simple, refine later</t>
  </si>
  <si>
    <t>Review calculated outputs</t>
  </si>
  <si>
    <t>Grey cells</t>
  </si>
  <si>
    <t>Focus on trends, not precision</t>
  </si>
  <si>
    <t>Compare models</t>
  </si>
  <si>
    <t>Value Case Summary</t>
  </si>
  <si>
    <t>Look at cash flow and breakeven</t>
  </si>
  <si>
    <t>Interpret results</t>
  </si>
  <si>
    <t>Use chart + summary</t>
  </si>
  <si>
    <t>Which model looks viable?</t>
  </si>
  <si>
    <t>Business Model descriptions</t>
  </si>
  <si>
    <t>Business Model</t>
  </si>
  <si>
    <t>What it means</t>
  </si>
  <si>
    <t>How value is created</t>
  </si>
  <si>
    <t>When it fits</t>
  </si>
  <si>
    <t>Current Linear</t>
  </si>
  <si>
    <t>Traditional product sale</t>
  </si>
  <si>
    <t>One-time sale revenue</t>
  </si>
  <si>
    <t>Standard business model</t>
  </si>
  <si>
    <t>Repair &amp; Maintenance</t>
  </si>
  <si>
    <t>Extend product life through service</t>
  </si>
  <si>
    <t>Service revenue + customer retention</t>
  </si>
  <si>
    <t>Products with repair demand</t>
  </si>
  <si>
    <t>Resell</t>
  </si>
  <si>
    <t>Sell used products again</t>
  </si>
  <si>
    <t>Second-hand revenue</t>
  </si>
  <si>
    <t>Products with resale value</t>
  </si>
  <si>
    <t>Remanufacture</t>
  </si>
  <si>
    <t>Restore products to like-new condition</t>
  </si>
  <si>
    <t>Cost savings + resale revenue</t>
  </si>
  <si>
    <t>Durable, modular products</t>
  </si>
  <si>
    <t>Furniture-as-a-Service (FaaS)</t>
  </si>
  <si>
    <t>Customers pay recurring fee for use</t>
  </si>
  <si>
    <t>Subscription revenue over time</t>
  </si>
  <si>
    <t>B2B, office, hospitality contexts</t>
  </si>
  <si>
    <t xml:space="preserve">Current Business Model: Linear Baseline </t>
  </si>
  <si>
    <t>Metric</t>
  </si>
  <si>
    <t>2025</t>
  </si>
  <si>
    <t>2026</t>
  </si>
  <si>
    <t>2027</t>
  </si>
  <si>
    <t>2028</t>
  </si>
  <si>
    <t>2029</t>
  </si>
  <si>
    <t>Notes</t>
  </si>
  <si>
    <t>Summary outputs</t>
  </si>
  <si>
    <t>Total revenue potential</t>
  </si>
  <si>
    <t>Current product sales plus optional current after-sales/service revenue</t>
  </si>
  <si>
    <t>Total operating cost</t>
  </si>
  <si>
    <t>Operating costs only; excludes investment</t>
  </si>
  <si>
    <t>Total EBITDA potential</t>
  </si>
  <si>
    <t>Revenue minus operating costs; not net profit</t>
  </si>
  <si>
    <t>Total investment need</t>
  </si>
  <si>
    <t>Current baseline investment / replacement CAPEX</t>
  </si>
  <si>
    <t>Net cash flow after investment</t>
  </si>
  <si>
    <t>EBITDA minus investment need</t>
  </si>
  <si>
    <t>Cumulative net cash flow</t>
  </si>
  <si>
    <t>Cumulative over time</t>
  </si>
  <si>
    <t>Breakeven year</t>
  </si>
  <si>
    <t>Value lever (tier 1)</t>
  </si>
  <si>
    <t>Value lever (tier 2) / Input</t>
  </si>
  <si>
    <t>Year 1</t>
  </si>
  <si>
    <t>Year 2</t>
  </si>
  <si>
    <t>Year 3</t>
  </si>
  <si>
    <t>Year 4</t>
  </si>
  <si>
    <t>Year 5</t>
  </si>
  <si>
    <t>Revenue</t>
  </si>
  <si>
    <t>Current product sales</t>
  </si>
  <si>
    <t>Number of products sold / year</t>
  </si>
  <si>
    <t>Y1 from case (37,000 units). Y2–5: assumed ~1.5%/yr decline as circular models grow (case flags 8% cannibalisation risk).</t>
  </si>
  <si>
    <t>Average selling price per product (€)</t>
  </si>
  <si>
    <t>Case: €390 B2B net average (list €420, dealer net ~€390)</t>
  </si>
  <si>
    <t>Product sales revenue</t>
  </si>
  <si>
    <t>Auto-calculated</t>
  </si>
  <si>
    <t>Number of current repair/service jobs / year</t>
  </si>
  <si>
    <t>Case: no repair/service jobs — purely transactional model</t>
  </si>
  <si>
    <t>Average current repair/service revenue per job (€)</t>
  </si>
  <si>
    <t>Optional current after-sales revenue input</t>
  </si>
  <si>
    <t>Current repair/service revenue</t>
  </si>
  <si>
    <t>Cost</t>
  </si>
  <si>
    <t>Current operating costs</t>
  </si>
  <si>
    <t>Material cost per product (€)</t>
  </si>
  <si>
    <t>Case: materials (frame, mechanism, foam, fabric) = €148/unit</t>
  </si>
  <si>
    <t>Total material cost</t>
  </si>
  <si>
    <t>Production / assembly cost per product (€)</t>
  </si>
  <si>
    <t>Case: direct labour (assembly) = €42/unit</t>
  </si>
  <si>
    <t>Total production / assembly cost</t>
  </si>
  <si>
    <t>Outbound logistics cost per product (€)</t>
  </si>
  <si>
    <t>Case: outbound logistics = €18/unit</t>
  </si>
  <si>
    <t>Total outbound logistics cost</t>
  </si>
  <si>
    <t>Sales / distribution cost per product (€)</t>
  </si>
  <si>
    <t>Case: overheads allocation = €61/unit (COGS total = €269)</t>
  </si>
  <si>
    <t>Total sales / distribution cost</t>
  </si>
  <si>
    <t>Current warranty / return / service cost per year (€)</t>
  </si>
  <si>
    <t>Assumption: est. ~1% failure on 37k units × €54 avg warranty cost ≈ €20k/yr</t>
  </si>
  <si>
    <t>Total warranty / return / service cost</t>
  </si>
  <si>
    <t xml:space="preserve">Auto-calculated </t>
  </si>
  <si>
    <t>Other operating costs per year (€)</t>
  </si>
  <si>
    <t>Assumption: admin, general operating costs not allocated to COGS</t>
  </si>
  <si>
    <t>Total other operating costs</t>
  </si>
  <si>
    <t>Investment</t>
  </si>
  <si>
    <t>Current investment / replacement CAPEX</t>
  </si>
  <si>
    <t>Equipment / production investment (€)</t>
  </si>
  <si>
    <t>Current baseline investment if relevant</t>
  </si>
  <si>
    <t>Digital / IT investment (€)</t>
  </si>
  <si>
    <t>Current baseline digital investments if relevant</t>
  </si>
  <si>
    <t>Other current investments (€)</t>
  </si>
  <si>
    <t>Other current baseline investments</t>
  </si>
  <si>
    <t>Baseline indicators</t>
  </si>
  <si>
    <t>Non-financial context</t>
  </si>
  <si>
    <t>Average product lifetime in current model (years)</t>
  </si>
  <si>
    <t>Case: observed lifespan 6–8 years in office use (midpoint = 7)</t>
  </si>
  <si>
    <t>Current repair / service rate (%)</t>
  </si>
  <si>
    <t>Case: no repair/service offered — zero repair rate</t>
  </si>
  <si>
    <t>Current return / take-back rate (%)</t>
  </si>
  <si>
    <t>Case: "NordForm has zero visibility after point of sale" — no take-back</t>
  </si>
  <si>
    <t>Residual value currently captured per product (€)</t>
  </si>
  <si>
    <t>Case: no residual value captured; 100% to mixed waste</t>
  </si>
  <si>
    <t>Current circular activity maturity (1 low – 5 high)</t>
  </si>
  <si>
    <t>Case: purely transactional — lowest circular maturity (1/5)</t>
  </si>
  <si>
    <t>■ White = confirmed NordForm case data    ■ Purple italic = assumption (not in case)</t>
  </si>
  <si>
    <t xml:space="preserve">Module A — Repair Service </t>
  </si>
  <si>
    <t>Paid repair service for chairs in B2B use. Mechanism replacement, re-upholstery, armrest pads.</t>
  </si>
  <si>
    <t>Service sales</t>
  </si>
  <si>
    <t>Number of repair jobs / year</t>
  </si>
  <si>
    <t>Y4 = 4,000 from case 2028 target. Y1–Y3 ramp: pilot with 3 anchor clients (Varma, ISS, Senate Properties). Y5 extrapolated.</t>
  </si>
  <si>
    <t>Average repair price / job (€)</t>
  </si>
  <si>
    <t>Case: avg €65/intervention (mechanism €35+parts; fabric €55+material; armrest €12)</t>
  </si>
  <si>
    <t>Repair revenue</t>
  </si>
  <si>
    <t>Number of maintenance visits / year</t>
  </si>
  <si>
    <t>Assumption: no stand-alone maintenance visits in Module A scope. Maintenance bundled into FaaS (Module C).</t>
  </si>
  <si>
    <t>Average maintenance price / visit (€)</t>
  </si>
  <si>
    <t>Revenue per maintenance visit</t>
  </si>
  <si>
    <t>Maintenance revenue</t>
  </si>
  <si>
    <t>Average add-on revenue per repair job (€)</t>
  </si>
  <si>
    <t>Assumption: armrest pad replacements, cleaning kits sold as add-ons avg €8/job</t>
  </si>
  <si>
    <t>Repair add-on revenue</t>
  </si>
  <si>
    <t>Average add-on revenue per maintenance visit (€)</t>
  </si>
  <si>
    <t>Optional add-on revenue</t>
  </si>
  <si>
    <t>Maintenance add-on revenue</t>
  </si>
  <si>
    <t>Service delivery costs</t>
  </si>
  <si>
    <t>Average labor/service cost per repair (€)</t>
  </si>
  <si>
    <t>Assumption: 0.75h × ~€29/hr blended Finnish factory wage incl. social costs = €22. Case sells mechanism at €35 (labour+parts) and fabric at €55 — costs well below sell price.</t>
  </si>
  <si>
    <t>Repair labor/service cost</t>
  </si>
  <si>
    <t xml:space="preserve">Auto calculated </t>
  </si>
  <si>
    <t>Average labor/service cost per maintenance visit (€)</t>
  </si>
  <si>
    <t>Direct service cost</t>
  </si>
  <si>
    <t>Maintenance labor/service cost</t>
  </si>
  <si>
    <t>Spare parts cost per repair (€)</t>
  </si>
  <si>
    <t>Assumption: blended parts cost. Mechanism replacement ~€12; fabric (already in €22 material cost for Module B; simpler upholstery for repair ~€18); avg €15 across job mix.</t>
  </si>
  <si>
    <t>Total spare parts cost</t>
  </si>
  <si>
    <t>Share of repairs off-site (%)</t>
  </si>
  <si>
    <t>Case: "client ships chairs to Lahti on a pallet" — 100% off-site (client-side)</t>
  </si>
  <si>
    <t>Transport cost per off-site repair (€)</t>
  </si>
  <si>
    <t>Assumption: avg of case range €8–14/chair at 10+ unit batch size = €11/chair</t>
  </si>
  <si>
    <t>Total off-site transport cost</t>
  </si>
  <si>
    <t>Other service delivery costs (€ / year)</t>
  </si>
  <si>
    <t>Staged FTE hiring. Y4=2 FTE (€82,000) matches case target. Y1=0.5 FTE incremental (existing 3 technicians absorb pilot volume). Case: €41k/FTE blended.</t>
  </si>
  <si>
    <t>Enabling investments</t>
  </si>
  <si>
    <t>Diagnostic tools (€)</t>
  </si>
  <si>
    <t>Assumption: Y1 setup — diagnostic tools, grading jigs, quality test equipment</t>
  </si>
  <si>
    <t>Service management / booking system (€)</t>
  </si>
  <si>
    <t>Assumption: Y1 setup — repair booking portal &amp; service management system (Siili Solutions infrastructure)</t>
  </si>
  <si>
    <t>Other investments (€)</t>
  </si>
  <si>
    <t>Assumption: Y1 setup — staff training, process documentation, pilot materials</t>
  </si>
  <si>
    <t>Feasibility</t>
  </si>
  <si>
    <t>Qualitative / non-financial checks</t>
  </si>
  <si>
    <t>Share of products repairable (%)</t>
  </si>
  <si>
    <t>Case: "80% of returns are for mechanism failure (fixable) or fabric wear (replaceable)" — high repairability</t>
  </si>
  <si>
    <t>Customer willingness to repair (%)</t>
  </si>
  <si>
    <t>Case: pilot survey (n=87 office managers, Nov 2024): 61% would use repair service</t>
  </si>
  <si>
    <t>Average repair time / job (hours)</t>
  </si>
  <si>
    <t>Case: internal time study 2023 — 45 min per chair = 0.75h</t>
  </si>
  <si>
    <t>── Feasibility Assessment</t>
  </si>
  <si>
    <t>Composite feasibility score (0–100)</t>
  </si>
  <si>
    <t>0–39 = Low  |  40–64 = Medium  |  65–100 = High  (unfilled indicators default to neutral = 50)</t>
  </si>
  <si>
    <t>Feasibility signal</t>
  </si>
  <si>
    <t>Pessimistic revenue multiplier</t>
  </si>
  <si>
    <t>High ≥65: ×0.75  |  Medium: ×0.60  |  Low: ×0.45</t>
  </si>
  <si>
    <t>Optimistic revenue multiplier</t>
  </si>
  <si>
    <t>High ≥65: ×1.25  |  Medium: ×1.40  |  Low: ×1.55</t>
  </si>
  <si>
    <t>── Scenario Analysis  (Pessimistic/Optimistic = base revenue × multiplier; costs held at base)</t>
  </si>
  <si>
    <t>Revenue — Pessimistic (€)</t>
  </si>
  <si>
    <t>Revenue — Base (€)</t>
  </si>
  <si>
    <t>Revenue — Optimistic (€)</t>
  </si>
  <si>
    <t>EBITDA — Pessimistic (€)</t>
  </si>
  <si>
    <t>EBITDA — Base (€)</t>
  </si>
  <si>
    <t>EBITDA — Optimistic (€)</t>
  </si>
  <si>
    <t>Net Cash Flow — Pessimistic (€)</t>
  </si>
  <si>
    <t>Net Cash Flow — Base (€)</t>
  </si>
  <si>
    <t>Net Cash Flow — Optimistic (€)</t>
  </si>
  <si>
    <t>Cumulative CF — Pessimistic (€)</t>
  </si>
  <si>
    <t>Cumulative CF — Base (€)</t>
  </si>
  <si>
    <t>Cumulative CF — Optimistic (€)</t>
  </si>
  <si>
    <t>Breakeven — Pessimistic</t>
  </si>
  <si>
    <t>Breakeven — Base</t>
  </si>
  <si>
    <t>Breakeven — Optimistic</t>
  </si>
  <si>
    <t xml:space="preserve">Module B (Grade A) — Certified Pre-Owned: Resell </t>
  </si>
  <si>
    <t>Resale revenue</t>
  </si>
  <si>
    <t>Number of products resold / year</t>
  </si>
  <si>
    <t>Assumption: ~30% of collected chairs qualify as Grade A (cosmetic wear only). Ramp towards 2028 target of 2,500 total collected/year. Y4 = ~750 Grade A.</t>
  </si>
  <si>
    <t>Average resale price / product (€)</t>
  </si>
  <si>
    <t>Case: Grade A resale price = 55% of €390 B2B net = €214.50 → €215</t>
  </si>
  <si>
    <t>Auto calculated</t>
  </si>
  <si>
    <t>Average add-on/service revenue per resale (€)</t>
  </si>
  <si>
    <t>Assumption: add-on revenue per resale — delivery accessories, quality certificate</t>
  </si>
  <si>
    <t>Add-on/service revenue</t>
  </si>
  <si>
    <t>Take-back and resale costs</t>
  </si>
  <si>
    <t>Take-back cost per item (€)</t>
  </si>
  <si>
    <t>Assumption: reverse logistics per chair = avg €11 (case range: €8–14 at batch size)</t>
  </si>
  <si>
    <t>Total take-back cost</t>
  </si>
  <si>
    <t>Sorting / grading cost per item (€)</t>
  </si>
  <si>
    <t>Case: quality grading + administration = €9/unit</t>
  </si>
  <si>
    <t>Total sorting / grading cost</t>
  </si>
  <si>
    <t>Storage cost per item (€)</t>
  </si>
  <si>
    <t>Assumption: short-term storage cost at Lahti warehouse pending resale</t>
  </si>
  <si>
    <t>Total storage cost</t>
  </si>
  <si>
    <t>Selling / channel cost per resold item (€)</t>
  </si>
  <si>
    <t>Assumption: Rekki.fi/Recircle platform fees ~7% of €215 resale price</t>
  </si>
  <si>
    <t>Total selling / channel cost</t>
  </si>
  <si>
    <t>Other resale operating costs (€ / year)</t>
  </si>
  <si>
    <t>Assumption: annual channel admin, product photography, listing management</t>
  </si>
  <si>
    <t>Resale enabling investments</t>
  </si>
  <si>
    <t>Resale platform / channel setup (€)</t>
  </si>
  <si>
    <t>Assumption: Y1 Rekki.fi + Recircle marketplace onboarding and profile setup</t>
  </si>
  <si>
    <t>Inspection / storage area setup (€)</t>
  </si>
  <si>
    <t>Assumption: Y1 dedicated inspection + short-term storage area setup in Lahti</t>
  </si>
  <si>
    <t>Assumption: Y1 marketing, brand photography, "Forma Certified Pre-Owned" identity</t>
  </si>
  <si>
    <t>Share of returned products suitable for resale (%)</t>
  </si>
  <si>
    <t>Assumption: ~30% of returned chairs Grade A (cosmetic wear only, mechanism intact)</t>
  </si>
  <si>
    <t>Average time to sell (days)</t>
  </si>
  <si>
    <t>Assumption: avg 45 days to sell on B2B circular marketplace (co-working, SME segment)</t>
  </si>
  <si>
    <t>Average number of resale cycles</t>
  </si>
  <si>
    <t>Assumption: 2 resale cycles possible over 7-year chair lifespan (sell → use 3 yrs → resell again)</t>
  </si>
  <si>
    <t xml:space="preserve">Module B (Grade B) —  Certified Pre-Owned: Remanufacture </t>
  </si>
  <si>
    <t>Remanufactured product sales</t>
  </si>
  <si>
    <t>Number of remanufactured products sold / year</t>
  </si>
  <si>
    <t>Assumption: ~55% of collected chairs Grade B (mechanism/fabric repair needed). Ramp towards 2028 target. Y4=1,000; total Grade A+B approaching 2,500 target.</t>
  </si>
  <si>
    <t>Average remanufactured product price (€)</t>
  </si>
  <si>
    <t>Case: Grade B resale price = 40% of €390 B2B net = €156</t>
  </si>
  <si>
    <t>Remanufactured product revenue</t>
  </si>
  <si>
    <t>Remanufacturing operating costs</t>
  </si>
  <si>
    <t>Used product acquisition / take-back cost per unit (€)</t>
  </si>
  <si>
    <t>Assumption: reverse logistics per chair = avg €11 (case range €8–14)</t>
  </si>
  <si>
    <t>Total acquisition / take-back cost</t>
  </si>
  <si>
    <t>Disassembly cost per unit (€)</t>
  </si>
  <si>
    <t>Assumption: disassembly labour ~20 min × blended rate €45/h = €15/unit</t>
  </si>
  <si>
    <t>Total disassembly cost</t>
  </si>
  <si>
    <t>Refurbishment / remanufacturing cost per unit (€)</t>
  </si>
  <si>
    <t>Case: refurbishment labour per Grade B chair = €58 (mechanism + fabric)</t>
  </si>
  <si>
    <t>Total refurbishment / remanufacturing cost</t>
  </si>
  <si>
    <t>New material / parts cost per unit (€)</t>
  </si>
  <si>
    <t>Case: new fabric material per refurbished chair = €22</t>
  </si>
  <si>
    <t>Total new material / parts cost</t>
  </si>
  <si>
    <t>Quality testing / certification cost per unit (€)</t>
  </si>
  <si>
    <t>Total quality testing / certification cost</t>
  </si>
  <si>
    <t>Selling / channel cost per unit (€)</t>
  </si>
  <si>
    <t>Assumption: selling/channel cost per remanufactured unit (mostly direct B2B, lower channel cost than Grade A)</t>
  </si>
  <si>
    <t>Material savings benefit per unit (€)</t>
  </si>
  <si>
    <t>Assumption: material savings benefit — steel base scrap value (~€5) + recovered mechanism parts for repair pool (~€25) = €30/unit</t>
  </si>
  <si>
    <t>Total material savings benefit</t>
  </si>
  <si>
    <t>Other remanufacturing operating costs (€ / year)</t>
  </si>
  <si>
    <t>Assumption: annual admin, Grade C disposal coordination via Remeo Oy</t>
  </si>
  <si>
    <t>Remanufacturing enabling investments</t>
  </si>
  <si>
    <t>Equipment (€)</t>
  </si>
  <si>
    <t>Assumption: Y1 refurbishment station, press tools, upholstery equipment setup</t>
  </si>
  <si>
    <t>Take-back program setup (€)</t>
  </si>
  <si>
    <t>Assumption: Y1 reverse logistics programme setup with DB Schenker Finland (case: in negotiation)</t>
  </si>
  <si>
    <t>Technology investments (€)</t>
  </si>
  <si>
    <t>Case: Digital Product Passport (DPP) system annual licence = €18,000 (Siili Solutions); Y1 activation cost</t>
  </si>
  <si>
    <t>Assumption: Y1 staff training, grading protocol development, "Forma Certified Pre-Owned" programme documentation</t>
  </si>
  <si>
    <t>Yield rate: usable returned products (%)</t>
  </si>
  <si>
    <t>Assumption: ~55% of collected chairs Grade B (mechanism or fabric issue, structurally sound). Grade A 30% + Grade B 55% + Grade C 15%.</t>
  </si>
  <si>
    <t>Condition variability risk (1 low – 5 high)</t>
  </si>
  <si>
    <t>Assumption: moderate condition variability (3/5) — no formal grading protocol exists yet (case: "no formal grading protocol yet")</t>
  </si>
  <si>
    <t>Customer acceptance of remanufactured products (%)</t>
  </si>
  <si>
    <t>Case: pilot survey (n=87, Nov 2024): 44% skeptical about refurbished quality → 56% accepting. Direct case data.</t>
  </si>
  <si>
    <t xml:space="preserve">Module C — Forma-as-a-Service (FaaS) </t>
  </si>
  <si>
    <t>Includes subscription revenue and optional onboarding/setup revenue</t>
  </si>
  <si>
    <t>Capital / setup investments</t>
  </si>
  <si>
    <t>Case: "requires ≥3 lifecycle loops to be profitable vs. outright sale" (48-month contracts → 12+ year payback horizon). Negative 5-yr CF is expected.</t>
  </si>
  <si>
    <t>Subscription revenue</t>
  </si>
  <si>
    <t>Number of products under subscription / year</t>
  </si>
  <si>
    <t>Y4=3,000 from case 2028 target. Y1=avg 300 (500 chairs from ~Oct 2025, partial year). Y2-Y3 ramp per assumed client acquisition pace. Y5 extrapolated.</t>
  </si>
  <si>
    <t>Average monthly subscription fee (€ / product)</t>
  </si>
  <si>
    <t>Case: €9.50/month/chair (48-month minimum contract)</t>
  </si>
  <si>
    <t>Average onboarding / setup fee (€ / new subscribed product)</t>
  </si>
  <si>
    <t>Assumption: onboarding/setup fee per new chair — QR/DPP tagging, delivery, contract admin = ~€50</t>
  </si>
  <si>
    <t>Number of new subscribed products / year</t>
  </si>
  <si>
    <t>Assumption: new chairs entering subscription each year. Y1=500 (first corporate client, case target). Y4=1,500 to reach 3,000 total by end-2028.</t>
  </si>
  <si>
    <t>Onboarding / setup revenue</t>
  </si>
  <si>
    <t>Lifecycle service costs</t>
  </si>
  <si>
    <t>Repair &amp; maintenance cost per product / year (€)</t>
  </si>
  <si>
    <t>Assumption: annual maintenance visit per chair — technician time + minor consumables = €35 (mechanism guarantee included in subscription)</t>
  </si>
  <si>
    <t>Total repair &amp; maintenance cost</t>
  </si>
  <si>
    <t>Insurance cost per product / year (€)</t>
  </si>
  <si>
    <t>Assumption: fleet insurance per chair per year. Furniture fleet insurance ~€8/unit/year.</t>
  </si>
  <si>
    <t>Total insurance cost</t>
  </si>
  <si>
    <t>Reverse logistics cost per product / year (€)</t>
  </si>
  <si>
    <t>Assumption: end-of-contract collection cost amortised over 4-year contract. €11 collection ÷ 4 years = €2.75 → rounded €3/chair/year</t>
  </si>
  <si>
    <t>Total reverse logistics cost</t>
  </si>
  <si>
    <t>Redeployment / refurbishment cost per redeployed product (€)</t>
  </si>
  <si>
    <t>Case: redeployment/refurbishment cost = Grade B refurbishment labour €58 (same as Module B). Applied when chair redeployed to next client.</t>
  </si>
  <si>
    <t>Total redeployment / refurbishment cost</t>
  </si>
  <si>
    <t>Enter redeployment volume in row 55 (Feasibility section) to activate</t>
  </si>
  <si>
    <t>Customer service / contract administration cost per product / year (€)</t>
  </si>
  <si>
    <t>Assumption: contract administration, billing, client portal = €5/chair/year</t>
  </si>
  <si>
    <t>Total customer service / administration cost</t>
  </si>
  <si>
    <t>Other operating cost per product / year (€)</t>
  </si>
  <si>
    <t>Assumption: minor consumables, wear items not covered by maintenance visit</t>
  </si>
  <si>
    <t>Expected residual value recovered per retired asset (€)</t>
  </si>
  <si>
    <t>Assumption: residual value recovered per retired asset at end of contract. Grade B resale (€156) − refurbishment cost (€58) = €98 → conservative €95</t>
  </si>
  <si>
    <t>Residual value benefit</t>
  </si>
  <si>
    <t>Reduces operating cost; enter redeployment volume in row 55 to activate</t>
  </si>
  <si>
    <t>Asset acquisition / production investment (€)</t>
  </si>
  <si>
    <t>COGS from case (€269/chair). Volumes assumed: Y1=500, Y2=300, Y3=700, Y4=1,500, Y5=1,000 new chairs purchased. Y1 cost = 500×€269 = €134,500.</t>
  </si>
  <si>
    <t>Optional: number of new assets acquired</t>
  </si>
  <si>
    <t>Reference: number of new Forma chairs acquired for FaaS fleet per year</t>
  </si>
  <si>
    <t>Service management / contract system (€)</t>
  </si>
  <si>
    <t>Assumption: Y1 Siili Solutions platform setup + DPP integration (€45k); Y2-5 recurring service contract (€18k/year)</t>
  </si>
  <si>
    <t>Diagnostic / condition monitoring tools (€)</t>
  </si>
  <si>
    <t>Assumption: Y1 condition monitoring tools + QR scanning infrastructure; Y2-5 maintenance/upgrades</t>
  </si>
  <si>
    <t>Logistics / storage setup (€)</t>
  </si>
  <si>
    <t>Assumption: Y1 dedicated returns warehouse and staging area setup in Lahti for end-of-contract collection flows</t>
  </si>
  <si>
    <t>Other technology investments (€)</t>
  </si>
  <si>
    <t>Case: Digital Product Passport system annual licence = €18,000 (Siili Solutions). Y1 activation; recurring cost absorbed into service contract Y2+.</t>
  </si>
  <si>
    <t>Assumption: Y1 legal/contract template development, insurance framework, pilot programme costs</t>
  </si>
  <si>
    <t>Average contract duration (months)</t>
  </si>
  <si>
    <t>Case: 48-month minimum contract (= 4 years)</t>
  </si>
  <si>
    <t>Estimated asset utilisation rate (%)</t>
  </si>
  <si>
    <t>Assumption: 85% fleet utilisation — dedicated corporate clients, low idle time expected in B2B office environment</t>
  </si>
  <si>
    <t>Customer acceptance of subscription model (%)</t>
  </si>
  <si>
    <t>Case: pilot survey (n=87 office managers, Nov 2024): only 23% willing to commit to returning chairs at end of contract — key adoption risk</t>
  </si>
  <si>
    <t>Operational readiness for service delivery (1 low – 5 high)</t>
  </si>
  <si>
    <t>Assumption: operational readiness = 2/5 (low). Case: "None — no take-back process exists" and "Digital product tracking: None" in capabilities table.</t>
  </si>
  <si>
    <t>Partner dependency risk (1 low – 5 high)</t>
  </si>
  <si>
    <t>Assumption: partner dependency risk = 4/5 (high). Case explicitly flags "Donati single-source dependency means repair service viability is fragile"</t>
  </si>
  <si>
    <t>Number of products redeployed / year</t>
  </si>
  <si>
    <t>Assumption: first 48-month contracts (launched Q4 2025) expire ~Q4 2029 = Y5. Approx. 100 redeployments possible in Y5 from first client.</t>
  </si>
  <si>
    <t>Value Case Summary — Circular vs Linear Baseline | 2025–2029</t>
  </si>
  <si>
    <t>Use this sheet to compare the current linear model with four circular business models. Fill the input cells in each model sheet; this summary updates automatically.</t>
  </si>
  <si>
    <t>Business model</t>
  </si>
  <si>
    <t>Breakeven</t>
  </si>
  <si>
    <t>Current Linear BM</t>
  </si>
  <si>
    <t>PaaS Subscription</t>
  </si>
  <si>
    <t>Year 5 Snapshot — Model Comparison  |  NordForm Forma Chair  |  Year 5 = 2029</t>
  </si>
  <si>
    <t>Revenue Y5 (€)</t>
  </si>
  <si>
    <t>Op. Cost Y5 (€)</t>
  </si>
  <si>
    <t>EBITDA Y5 (€)</t>
  </si>
  <si>
    <t>Investment Y5 (€)</t>
  </si>
  <si>
    <t>Net CF Y5 (€)</t>
  </si>
  <si>
    <t>Cumul. CF Y5 (€)</t>
  </si>
  <si>
    <t>Current Linear Baseline</t>
  </si>
  <si>
    <t>=Current_Linear!C11</t>
  </si>
  <si>
    <t>Module A — Repair &amp; Maintenance</t>
  </si>
  <si>
    <t>='1. Repair_Maintain'!C11</t>
  </si>
  <si>
    <t>Module B-A — Resell (Grade A)</t>
  </si>
  <si>
    <t>='2. Resell'!C11</t>
  </si>
  <si>
    <t>Module B-B — Remanufacture (Grade B)</t>
  </si>
  <si>
    <t>='3. Remanufacture'!C11</t>
  </si>
  <si>
    <t>Module C — FaaS Subscription</t>
  </si>
  <si>
    <t>='4. FaaS_Subscription'!C11</t>
  </si>
  <si>
    <t>Total Circular (Modules A+B-A+B-B+C combined)</t>
  </si>
  <si>
    <t>— (combined)</t>
  </si>
  <si>
    <t>Cumulative Net Cash Flow by Year (€)  |  NordForm Forma Chair  |  2025–2029</t>
  </si>
  <si>
    <t>Annual Revenue by Model (€)</t>
  </si>
  <si>
    <t>EBITDA by Model (€)</t>
  </si>
  <si>
    <t>Year 5 Metrics by Model</t>
  </si>
  <si>
    <t>Revenue (€)</t>
  </si>
  <si>
    <t>Op. Cost (€)</t>
  </si>
  <si>
    <t>EBITDA (€)</t>
  </si>
  <si>
    <t>Net Cash Flow (€)</t>
  </si>
  <si>
    <t>── Feasibility Overview</t>
  </si>
  <si>
    <t>Score (0–100)</t>
  </si>
  <si>
    <t>Signal</t>
  </si>
  <si>
    <t>Pess. multiplier</t>
  </si>
  <si>
    <t>Opt. multiplier</t>
  </si>
  <si>
    <t>Score interpretation</t>
  </si>
  <si>
    <t>Repair &amp; Maint.</t>
  </si>
  <si>
    <t>── Year 5 Scenario Comparison  ·  Revenue / EBITDA / Cumulative CF</t>
  </si>
  <si>
    <t>Rev Y5 — Pessimistic</t>
  </si>
  <si>
    <t>Rev Y5 — Base</t>
  </si>
  <si>
    <t>Rev Y5 — Optimistic</t>
  </si>
  <si>
    <t>EBITDA Y5 — Pessimistic</t>
  </si>
  <si>
    <t>EBITDA Y5 — Base</t>
  </si>
  <si>
    <t>EBITDA Y5 — Optimistic</t>
  </si>
  <si>
    <t>Cum CF Y5 — Pessimistic</t>
  </si>
  <si>
    <t>Cum CF Y5 — Base</t>
  </si>
  <si>
    <t>Cum CF Y5 — Optimistic</t>
  </si>
  <si>
    <t>Breakeven — Pess.</t>
  </si>
  <si>
    <t>Breakeven — Opt.</t>
  </si>
  <si>
    <t xml:space="preserve"> Circular Business Model Impact Dashboard </t>
  </si>
  <si>
    <t>A  ·  CIRCULAR REVENUE &amp; PROFITABILITY AT A GLANCE  (Year 5 = 2029)</t>
  </si>
  <si>
    <t>Total Circular Revenue Y5</t>
  </si>
  <si>
    <t>% of Linear Revenue Y5</t>
  </si>
  <si>
    <t>Combined Circular EBITDA Y5</t>
  </si>
  <si>
    <t>Total Circular Investment Y1</t>
  </si>
  <si>
    <t>Sum of all 4 circular modules by Year 5</t>
  </si>
  <si>
    <t>Circular revenue as share of declining linear baseline</t>
  </si>
  <si>
    <t>Best EBITDA margin among all active circular models at Year 5</t>
  </si>
  <si>
    <t>Total EBITDA across all circular modules</t>
  </si>
  <si>
    <t>Total Y1 capex across all circular modules combined</t>
  </si>
  <si>
    <t>B  ·  CIRCULARITY PERFORMANCE INDICATORS  (End-state targets vs. baseline)</t>
  </si>
  <si>
    <t>Indicator</t>
  </si>
  <si>
    <t>Baseline
(Linear)</t>
  </si>
  <si>
    <t>Y5 Circular
(Combined)</t>
  </si>
  <si>
    <t>Change</t>
  </si>
  <si>
    <t>Source / Notes</t>
  </si>
  <si>
    <t>Products collected / refurbished per year</t>
  </si>
  <si>
    <t>0</t>
  </si>
  <si>
    <t>Products entering certified resell (Grade A) or remanufacture (Grade B) channels per year. Pulled from volume inputs on Resell and Remanufacture model sheets (row 17, Year 5).</t>
  </si>
  <si>
    <t>Repair interventions per year</t>
  </si>
  <si>
    <t>Paid repair interventions delivered per year under Module A. Pulled from repair volume input on Repair &amp; Maintenance model sheet (row 17, Year 5).</t>
  </si>
  <si>
    <t>Products under PaaS contract</t>
  </si>
  <si>
    <t>Active products under PaaS subscription contract at year-end. Pulled from subscription volume input on FaaS model sheet (row 17, Year 5).</t>
  </si>
  <si>
    <t>Estimated product lifespan extension (years)</t>
  </si>
  <si>
    <t>Baseline = current product lifespan from Current_Linear sheet (row 44). Extension = user input in cell C36 of this sheet. Reflects additional productive life enabled by repair and refurbishment loops.</t>
  </si>
  <si>
    <t>Revenue from circular services (% of total)</t>
  </si>
  <si>
    <t>0%</t>
  </si>
  <si>
    <t>Circular services revenue as a share of combined total (linear + all circular modules). All values pulled live from model sheets. Target threshold: ≥15% = strong signal.</t>
  </si>
  <si>
    <t>Estimated new client accounts reached via circular channels</t>
  </si>
  <si>
    <t>Estimated unique new client accounts reached via circular channels. Calculated as (Resell Y5 + Remanufacture Y5 volumes) ÷ average order size (cell C37). Represents market segments not served by the linear transactional model.</t>
  </si>
  <si>
    <t>Blended EBITDA margin — circular portfolio</t>
  </si>
  <si>
    <t>Blended EBITDA margin across all four circular modules combined (Y5). Compared to linear baseline margin. A higher circular blended margin indicates that circular models are structurally more profitable, not just additive volume.</t>
  </si>
  <si>
    <t>FaaS customer acceptance rate</t>
  </si>
  <si>
    <t>Customer willingness to commit to returning products at end of PaaS contract. Sourced from feasibility input on FaaS model sheet (row 52). Key adoption barrier — below 30% signals high commercial risk for PaaS scaling.</t>
  </si>
  <si>
    <t>Repair feasibility score (0–100)</t>
  </si>
  <si>
    <t>—</t>
  </si>
  <si>
    <t>Composite feasibility score for the Repair module (0–100). Weighted average of: product repairability (40%), customer willingness (40%), repair time efficiency (20%). Score ≥65 = High; 40–64 = Medium; &lt;40 = Low.</t>
  </si>
  <si>
    <t>Estimated CO₂ avoided vs. new manufacture (tonnes / year)</t>
  </si>
  <si>
    <t>Indicative CO₂ avoided by extending product life vs. new manufacture. Formula: (Resell + Remanufacture + Repair Y5 volumes) × product weight (kg, cell C38) × 0.0087 tCO₂/kg (IPCC furniture manufacturing factor). Replace with LCA data if available.</t>
  </si>
  <si>
    <t>C  ·  MODEL READINESS SCORECARD  ·  Financial viability × Market feasibility × Strategic fit</t>
  </si>
  <si>
    <t>Feasibility
Score</t>
  </si>
  <si>
    <t>EBITDA
Margin Y5</t>
  </si>
  <si>
    <t>Scenario
Range Y5</t>
  </si>
  <si>
    <t>Key risk</t>
  </si>
  <si>
    <t>Recommendation</t>
  </si>
  <si>
    <t>Repair &amp; Maintain</t>
  </si>
  <si>
    <t>Resell (Grade A)</t>
  </si>
  <si>
    <t>Remanufacture (B)</t>
  </si>
  <si>
    <t>FaaS Subscription</t>
  </si>
  <si>
    <t>D  ·  STRATEGIC READING</t>
  </si>
  <si>
    <t>Why circular makes sense</t>
  </si>
  <si>
    <t>The quick win</t>
  </si>
  <si>
    <t>The long game</t>
  </si>
  <si>
    <t>The forcing function</t>
  </si>
  <si>
    <t>User inputs for dashboard indicators</t>
  </si>
  <si>
    <t>← Enter estimated additional years of product life enabled by repair / refurbishment loops</t>
  </si>
  <si>
    <t>Estimated lifespan extension from circular loops (years)</t>
  </si>
  <si>
    <t>← User input: additional years of product use enabled by repair/refurb</t>
  </si>
  <si>
    <t>Average products per client / order (units)</t>
  </si>
  <si>
    <t>← User input: typical number of products per B2B client order</t>
  </si>
  <si>
    <t>Average product weight (kg) — for CO₂ estimate</t>
  </si>
  <si>
    <t>← User input: average product weight in kg (used to estimate CO₂ avoided vs. new manufacture)</t>
  </si>
  <si>
    <t>Repair</t>
  </si>
  <si>
    <t>FaaS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</si>
</sst>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€#,##0"/>
    <numFmt numFmtId="165" formatCode="0.0%"/>
    <numFmt numFmtId="166" formatCode="0.0&quot; yrs&quot;"/>
    <numFmt numFmtId="167" formatCode="\€#,##0;[Red]&quot;(€&quot;#,##0\);\-"/>
    <numFmt numFmtId="168" formatCode="#,##0.00&quot; EUR&quot;;[Red]\(#,##0.00&quot; EUR)&quot;;\-"/>
    <numFmt numFmtId="169" formatCode="#,##0;\(#,##0\);\-"/>
    <numFmt numFmtId="170" formatCode="0.0"/>
    <numFmt numFmtId="171" formatCode="#,##0.00&quot; EUR&quot;"/>
  </numFmts>
  <fonts count="71">
    <font>
      <sz val="11"/>
      <color theme="1"/>
      <name val="Calibri"/>
      <family val="2"/>
      <charset val="1"/>
    </font>
    <font>
      <i/>
      <sz val="8"/>
      <color rgb="FF888888"/>
      <name val="Aptos"/>
      <family val="2"/>
    </font>
    <font>
      <b/>
      <sz val="10"/>
      <color rgb="FFFFFFFF"/>
      <name val="Aptos"/>
      <family val="2"/>
    </font>
    <font>
      <b/>
      <sz val="8"/>
      <color rgb="FFFFFFFF"/>
      <name val="Aptos"/>
      <family val="2"/>
    </font>
    <font>
      <b/>
      <sz val="18"/>
      <color rgb="FF0E2841"/>
      <name val="Aptos"/>
      <family val="2"/>
    </font>
    <font>
      <i/>
      <sz val="7"/>
      <color rgb="FF666666"/>
      <name val="Aptos"/>
      <family val="2"/>
    </font>
    <font>
      <sz val="9"/>
      <color rgb="FF0E2841"/>
      <name val="Aptos"/>
      <family val="2"/>
    </font>
    <font>
      <sz val="9"/>
      <color rgb="FF888888"/>
      <name val="Aptos"/>
      <family val="2"/>
    </font>
    <font>
      <b/>
      <sz val="9"/>
      <color rgb="FF0E2841"/>
      <name val="Aptos"/>
      <family val="2"/>
    </font>
    <font>
      <b/>
      <sz val="9"/>
      <color rgb="FF2E7D32"/>
      <name val="Aptos"/>
      <family val="2"/>
    </font>
    <font>
      <sz val="11"/>
      <name val="Aptos"/>
      <family val="2"/>
    </font>
    <font>
      <i/>
      <sz val="7"/>
      <color rgb="FF777777"/>
      <name val="Aptos"/>
      <family val="2"/>
    </font>
    <font>
      <b/>
      <sz val="9"/>
      <color rgb="FFE65100"/>
      <name val="Aptos"/>
      <family val="2"/>
    </font>
    <font>
      <b/>
      <sz val="8"/>
      <color rgb="FF0E2841"/>
      <name val="Aptos"/>
      <family val="2"/>
    </font>
    <font>
      <sz val="8"/>
      <color rgb="FF0E2841"/>
      <name val="Aptos"/>
      <family val="2"/>
    </font>
    <font>
      <i/>
      <sz val="8"/>
      <color rgb="FF444444"/>
      <name val="Aptos"/>
      <family val="2"/>
    </font>
    <font>
      <b/>
      <sz val="9"/>
      <color rgb="FFFFFFFF"/>
      <name val="Aptos"/>
      <family val="2"/>
    </font>
    <font>
      <b/>
      <sz val="10"/>
      <color rgb="FF0E2841"/>
      <name val="Aptos"/>
      <family val="2"/>
    </font>
    <font>
      <i/>
      <sz val="8"/>
      <color rgb="FF999999"/>
      <name val="Aptos"/>
      <family val="2"/>
    </font>
    <font>
      <i/>
      <sz val="8"/>
      <color rgb="FF555555"/>
      <name val="Aptos"/>
      <family val="2"/>
    </font>
    <font>
      <sz val="10"/>
      <name val="Calibri"/>
      <family val="2"/>
      <charset val="1"/>
    </font>
    <font>
      <b/>
      <sz val="24"/>
      <name val="Playfair Display"/>
    </font>
    <font>
      <b/>
      <i/>
      <sz val="14"/>
      <name val="Inter"/>
      <charset val="1"/>
    </font>
    <font>
      <b/>
      <u/>
      <sz val="14"/>
      <color theme="1"/>
      <name val="Inter"/>
      <charset val="1"/>
    </font>
    <font>
      <b/>
      <sz val="14"/>
      <color theme="1"/>
      <name val="Inter"/>
      <charset val="1"/>
    </font>
    <font>
      <b/>
      <sz val="14"/>
      <color theme="1"/>
      <name val="Calibri"/>
      <family val="2"/>
      <charset val="1"/>
    </font>
    <font>
      <b/>
      <sz val="11"/>
      <name val="Inter"/>
      <charset val="1"/>
    </font>
    <font>
      <sz val="11"/>
      <name val="Inter"/>
      <charset val="1"/>
    </font>
    <font>
      <sz val="10"/>
      <name val="Inter"/>
      <charset val="1"/>
    </font>
    <font>
      <b/>
      <sz val="11"/>
      <color theme="1"/>
      <name val="Inter"/>
      <charset val="1"/>
    </font>
    <font>
      <sz val="11"/>
      <color theme="1"/>
      <name val="Inter"/>
      <charset val="1"/>
    </font>
    <font>
      <b/>
      <i/>
      <sz val="11"/>
      <color theme="1"/>
      <name val="Inter"/>
      <charset val="1"/>
    </font>
    <font>
      <b/>
      <i/>
      <sz val="14"/>
      <color theme="1"/>
      <name val="Inter"/>
      <charset val="1"/>
    </font>
    <font>
      <i/>
      <sz val="11"/>
      <color theme="1"/>
      <name val="Inter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i/>
      <sz val="9"/>
      <color rgb="FF555555"/>
      <name val="Inter"/>
      <charset val="1"/>
    </font>
    <font>
      <b/>
      <sz val="9"/>
      <color rgb="FFFFFFFF"/>
      <name val="Inter"/>
      <charset val="1"/>
    </font>
    <font>
      <sz val="10"/>
      <color rgb="FF000000"/>
      <name val="Inter"/>
      <charset val="1"/>
    </font>
    <font>
      <i/>
      <sz val="10"/>
      <color rgb="FF6B21A8"/>
      <name val="Inter"/>
      <charset val="1"/>
    </font>
    <font>
      <i/>
      <sz val="8"/>
      <color rgb="FF888888"/>
      <name val="Inter"/>
      <charset val="1"/>
    </font>
    <font>
      <i/>
      <sz val="8"/>
      <color rgb="FF555555"/>
      <name val="Inter"/>
      <charset val="1"/>
    </font>
    <font>
      <b/>
      <sz val="12"/>
      <color rgb="FF0E2841"/>
      <name val="Aptos"/>
      <family val="2"/>
    </font>
    <font>
      <i/>
      <sz val="9"/>
      <color rgb="FF555555"/>
      <name val="Aptos"/>
      <family val="2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i/>
      <sz val="10"/>
      <color rgb="FF6B21A8"/>
      <name val="Aptos"/>
      <family val="2"/>
    </font>
    <font>
      <sz val="10"/>
      <color rgb="FF000000"/>
      <name val="Aptos"/>
      <family val="2"/>
    </font>
    <font>
      <b/>
      <sz val="9"/>
      <color rgb="FF000000"/>
      <name val="Aptos"/>
      <family val="2"/>
    </font>
    <font>
      <i/>
      <sz val="8"/>
      <color rgb="FF777777"/>
      <name val="Aptos"/>
      <family val="2"/>
    </font>
    <font>
      <b/>
      <sz val="10"/>
      <name val="Aptos"/>
      <family val="2"/>
    </font>
    <font>
      <i/>
      <sz val="9"/>
      <color rgb="FFAA0000"/>
      <name val="Aptos"/>
      <family val="2"/>
    </font>
    <font>
      <b/>
      <sz val="10"/>
      <color rgb="FFAA0000"/>
      <name val="Aptos"/>
      <family val="2"/>
    </font>
    <font>
      <i/>
      <sz val="9"/>
      <color rgb="FF0000AA"/>
      <name val="Aptos"/>
      <family val="2"/>
    </font>
    <font>
      <b/>
      <sz val="10"/>
      <color rgb="FF0000AA"/>
      <name val="Aptos"/>
      <family val="2"/>
    </font>
    <font>
      <sz val="9"/>
      <color rgb="FF000000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rgb="FFAA0000"/>
      <name val="Aptos"/>
      <family val="2"/>
    </font>
    <font>
      <b/>
      <sz val="9"/>
      <color rgb="FF0000AA"/>
      <name val="Aptos"/>
      <family val="2"/>
    </font>
    <font>
      <i/>
      <sz val="8"/>
      <color rgb="FFAA6600"/>
      <name val="Aptos"/>
      <family val="2"/>
    </font>
    <font>
      <sz val="11"/>
      <color rgb="FF0000FF"/>
      <name val="Calibri"/>
      <family val="2"/>
      <charset val="1"/>
    </font>
    <font>
      <sz val="11"/>
      <name val="Cambria"/>
      <family val="1"/>
    </font>
    <font>
      <b/>
      <sz val="11"/>
      <color rgb="FFFFFFFF"/>
      <name val="Aptos"/>
      <family val="2"/>
    </font>
    <font>
      <sz val="9"/>
      <color rgb="FF333333"/>
      <name val="Aptos"/>
      <family val="2"/>
    </font>
    <font>
      <b/>
      <sz val="9"/>
      <color rgb="FFF1C748"/>
      <name val="Aptos"/>
      <family val="2"/>
    </font>
    <font>
      <i/>
      <sz val="9"/>
      <color rgb="FFF1C748"/>
      <name val="Aptos"/>
      <family val="2"/>
    </font>
    <font>
      <b/>
      <i/>
      <sz val="9"/>
      <color rgb="FF999999"/>
      <name val="Aptos"/>
      <family val="2"/>
    </font>
    <font>
      <i/>
      <sz val="9"/>
      <name val="Aptos"/>
      <family val="2"/>
    </font>
    <font>
      <b/>
      <sz val="20"/>
      <color rgb="FF0E2841"/>
      <name val="Playfair Display"/>
    </font>
    <font>
      <b/>
      <sz val="20"/>
      <color rgb="FFF1C748"/>
      <name val="Playfair Display"/>
    </font>
  </fonts>
  <fills count="50">
    <fill>
      <patternFill patternType="none"/>
    </fill>
    <fill>
      <patternFill patternType="gray125"/>
    </fill>
    <fill>
      <patternFill patternType="solid">
        <fgColor rgb="FF0E2840"/>
        <bgColor rgb="FF0E2841"/>
      </patternFill>
    </fill>
    <fill>
      <patternFill patternType="solid">
        <fgColor rgb="FF96D0C6"/>
        <bgColor rgb="FF98CEF3"/>
      </patternFill>
    </fill>
    <fill>
      <patternFill patternType="solid">
        <fgColor rgb="FFD8DB72"/>
        <bgColor rgb="FFD0C650"/>
      </patternFill>
    </fill>
    <fill>
      <patternFill patternType="solid">
        <fgColor rgb="FFF1C748"/>
        <bgColor rgb="FFD0C650"/>
      </patternFill>
    </fill>
    <fill>
      <patternFill patternType="solid">
        <fgColor rgb="FFD3AEAD"/>
        <bgColor rgb="FFBEBEBE"/>
      </patternFill>
    </fill>
    <fill>
      <patternFill patternType="mediumGray">
        <fgColor rgb="FF98CEF3"/>
        <bgColor rgb="FF96D0C6"/>
      </patternFill>
    </fill>
    <fill>
      <patternFill patternType="solid">
        <fgColor rgb="FFD0C630"/>
        <bgColor rgb="FFD0C620"/>
      </patternFill>
    </fill>
    <fill>
      <patternFill patternType="solid">
        <fgColor rgb="FFDB7230"/>
        <bgColor rgb="FFDB7250"/>
      </patternFill>
    </fill>
    <fill>
      <patternFill patternType="solid">
        <fgColor rgb="FFC74830"/>
        <bgColor rgb="FFC74850"/>
      </patternFill>
    </fill>
    <fill>
      <patternFill patternType="solid">
        <fgColor rgb="FFAEAD30"/>
        <bgColor rgb="FFAEAD20"/>
      </patternFill>
    </fill>
    <fill>
      <patternFill patternType="solid">
        <fgColor rgb="FFC5D730"/>
        <bgColor rgb="FFC5D718"/>
      </patternFill>
    </fill>
    <fill>
      <patternFill patternType="solid">
        <fgColor rgb="FFD0C618"/>
        <bgColor rgb="FFD0C620"/>
      </patternFill>
    </fill>
    <fill>
      <patternFill patternType="mediumGray">
        <fgColor rgb="FFDB7230"/>
        <bgColor rgb="FFD77010"/>
      </patternFill>
    </fill>
    <fill>
      <patternFill patternType="darkGray">
        <fgColor rgb="FFC74830"/>
        <bgColor rgb="FFD74B14"/>
      </patternFill>
    </fill>
    <fill>
      <patternFill patternType="solid">
        <fgColor rgb="FFAEAD18"/>
        <bgColor rgb="FFAEAD20"/>
      </patternFill>
    </fill>
    <fill>
      <patternFill patternType="solid">
        <fgColor rgb="FFC5D718"/>
        <bgColor rgb="FFC5D730"/>
      </patternFill>
    </fill>
    <fill>
      <patternFill patternType="solid">
        <fgColor rgb="FF2146AA"/>
        <bgColor rgb="FF1F497D"/>
      </patternFill>
    </fill>
    <fill>
      <patternFill patternType="solid">
        <fgColor rgb="FFF5F5F5"/>
        <bgColor rgb="FFF3F2F4"/>
      </patternFill>
    </fill>
    <fill>
      <patternFill patternType="solid">
        <fgColor rgb="FFFFFFFF"/>
        <bgColor rgb="FFF5F5F5"/>
      </patternFill>
    </fill>
    <fill>
      <patternFill patternType="solid">
        <fgColor rgb="FFD0C620"/>
        <bgColor rgb="FFD0C618"/>
      </patternFill>
    </fill>
    <fill>
      <patternFill patternType="solid">
        <fgColor rgb="FFAEAD20"/>
        <bgColor rgb="FFAEAD18"/>
      </patternFill>
    </fill>
    <fill>
      <patternFill patternType="solid">
        <fgColor rgb="FFFFF9C4"/>
        <bgColor rgb="FFFDEADA"/>
      </patternFill>
    </fill>
    <fill>
      <patternFill patternType="solid">
        <fgColor theme="3" tint="0.79979857783745845"/>
        <bgColor rgb="FFD9D9D9"/>
      </patternFill>
    </fill>
    <fill>
      <patternFill patternType="solid">
        <fgColor theme="0" tint="-4.9989318521683403E-2"/>
        <bgColor rgb="FFF5F5F5"/>
      </patternFill>
    </fill>
    <fill>
      <patternFill patternType="solid">
        <fgColor rgb="FFBEBEBE"/>
        <bgColor rgb="FFCCC8CE"/>
      </patternFill>
    </fill>
    <fill>
      <patternFill patternType="solid">
        <fgColor rgb="FFD9D9D9"/>
        <bgColor rgb="FFC6D9F1"/>
      </patternFill>
    </fill>
    <fill>
      <patternFill patternType="solid">
        <fgColor rgb="FFF3E5FF"/>
        <bgColor rgb="FFFFE8E8"/>
      </patternFill>
    </fill>
    <fill>
      <patternFill patternType="solid">
        <fgColor theme="9" tint="0.79979857783745845"/>
        <bgColor rgb="FFFCE4D6"/>
      </patternFill>
    </fill>
    <fill>
      <patternFill patternType="solid">
        <fgColor theme="3" tint="0.39979247413556324"/>
        <bgColor rgb="FF888888"/>
      </patternFill>
    </fill>
    <fill>
      <patternFill patternType="solid">
        <fgColor rgb="FF808080"/>
        <bgColor rgb="FF888888"/>
      </patternFill>
    </fill>
    <fill>
      <patternFill patternType="solid">
        <fgColor rgb="FFFCE4D6"/>
        <bgColor rgb="FFFDEADA"/>
      </patternFill>
    </fill>
    <fill>
      <patternFill patternType="solid">
        <fgColor rgb="FFFFE8E8"/>
        <bgColor rgb="FFFDEADA"/>
      </patternFill>
    </fill>
    <fill>
      <patternFill patternType="solid">
        <fgColor rgb="FFE0EDFF"/>
        <bgColor rgb="FFE8F5E8"/>
      </patternFill>
    </fill>
    <fill>
      <patternFill patternType="solid">
        <fgColor rgb="FFE8F5E8"/>
        <bgColor rgb="FFF3F2F4"/>
      </patternFill>
    </fill>
    <fill>
      <patternFill patternType="solid">
        <fgColor theme="0" tint="-0.34998626667073579"/>
        <bgColor rgb="FF9A9A9A"/>
      </patternFill>
    </fill>
    <fill>
      <patternFill patternType="solid">
        <fgColor rgb="FFFFFF00"/>
        <bgColor rgb="FFC5D718"/>
      </patternFill>
    </fill>
    <fill>
      <patternFill patternType="solid">
        <fgColor rgb="FFCCC8CE"/>
        <bgColor rgb="FFBEBEBE"/>
      </patternFill>
    </fill>
    <fill>
      <patternFill patternType="solid">
        <fgColor rgb="FFD0C650"/>
        <bgColor rgb="FFD0C630"/>
      </patternFill>
    </fill>
    <fill>
      <patternFill patternType="solid">
        <fgColor rgb="FFDB7250"/>
        <bgColor rgb="FFDB7230"/>
      </patternFill>
    </fill>
    <fill>
      <patternFill patternType="solid">
        <fgColor rgb="FFAEAD50"/>
        <bgColor rgb="FFAEAD30"/>
      </patternFill>
    </fill>
    <fill>
      <patternFill patternType="solid">
        <fgColor rgb="FFC74850"/>
        <bgColor rgb="FFC74830"/>
      </patternFill>
    </fill>
    <fill>
      <patternFill patternType="solid">
        <fgColor rgb="FFD94F4F"/>
        <bgColor rgb="FFC74850"/>
      </patternFill>
    </fill>
    <fill>
      <patternFill patternType="solid">
        <fgColor rgb="FF2E7D32"/>
        <bgColor rgb="FF555555"/>
      </patternFill>
    </fill>
    <fill>
      <patternFill patternType="solid">
        <fgColor rgb="FF1565C0"/>
        <bgColor rgb="FF2146AA"/>
      </patternFill>
    </fill>
    <fill>
      <patternFill patternType="solid">
        <fgColor rgb="FFF6F67A"/>
        <bgColor rgb="FFF5F5F5"/>
      </patternFill>
    </fill>
    <fill>
      <patternFill patternType="solid">
        <fgColor rgb="FFF6F67A"/>
        <bgColor rgb="FFFFE8E8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FDEADA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8" fillId="0" borderId="0" xfId="0" applyFont="1"/>
    <xf numFmtId="0" fontId="17" fillId="23" borderId="0" xfId="0" applyFont="1" applyFill="1"/>
    <xf numFmtId="0" fontId="18" fillId="0" borderId="0" xfId="0" applyFont="1"/>
    <xf numFmtId="0" fontId="19" fillId="0" borderId="0" xfId="0" applyFont="1"/>
    <xf numFmtId="167" fontId="0" fillId="0" borderId="0" xfId="0" applyNumberFormat="1"/>
    <xf numFmtId="168" fontId="0" fillId="0" borderId="0" xfId="0" applyNumberFormat="1"/>
    <xf numFmtId="9" fontId="0" fillId="0" borderId="0" xfId="0" applyNumberFormat="1"/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/>
    <xf numFmtId="0" fontId="24" fillId="0" borderId="1" xfId="0" applyFont="1" applyBorder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31" fillId="24" borderId="0" xfId="0" applyFont="1" applyFill="1"/>
    <xf numFmtId="0" fontId="32" fillId="0" borderId="1" xfId="0" applyFont="1" applyBorder="1" applyAlignment="1">
      <alignment horizontal="left" vertical="center" wrapText="1"/>
    </xf>
    <xf numFmtId="0" fontId="33" fillId="0" borderId="1" xfId="0" applyFont="1" applyBorder="1"/>
    <xf numFmtId="0" fontId="29" fillId="25" borderId="0" xfId="0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2" fillId="0" borderId="1" xfId="0" applyFont="1" applyBorder="1"/>
    <xf numFmtId="0" fontId="30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35" fillId="0" borderId="0" xfId="0" applyFont="1"/>
    <xf numFmtId="0" fontId="0" fillId="0" borderId="0" xfId="0" applyAlignment="1">
      <alignment horizontal="left" vertical="center" wrapText="1"/>
    </xf>
    <xf numFmtId="0" fontId="36" fillId="0" borderId="0" xfId="0" applyFont="1"/>
    <xf numFmtId="0" fontId="27" fillId="0" borderId="2" xfId="0" applyFont="1" applyBorder="1" applyAlignment="1">
      <alignment horizontal="left" vertical="center" wrapText="1"/>
    </xf>
    <xf numFmtId="0" fontId="27" fillId="26" borderId="2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center"/>
    </xf>
    <xf numFmtId="0" fontId="27" fillId="0" borderId="2" xfId="0" applyFont="1" applyBorder="1" applyAlignment="1">
      <alignment horizontal="center" vertical="center" wrapText="1"/>
    </xf>
    <xf numFmtId="0" fontId="27" fillId="27" borderId="2" xfId="0" applyFont="1" applyFill="1" applyBorder="1" applyAlignment="1">
      <alignment horizontal="left" vertical="center" wrapText="1"/>
    </xf>
    <xf numFmtId="168" fontId="27" fillId="27" borderId="2" xfId="0" applyNumberFormat="1" applyFont="1" applyFill="1" applyBorder="1" applyAlignment="1">
      <alignment horizontal="center" vertical="center" wrapText="1"/>
    </xf>
    <xf numFmtId="0" fontId="27" fillId="27" borderId="2" xfId="0" applyFont="1" applyFill="1" applyBorder="1" applyAlignment="1">
      <alignment horizontal="center" vertical="center" wrapText="1"/>
    </xf>
    <xf numFmtId="0" fontId="26" fillId="26" borderId="2" xfId="0" applyFont="1" applyFill="1" applyBorder="1" applyAlignment="1">
      <alignment horizontal="center" vertical="center" wrapText="1"/>
    </xf>
    <xf numFmtId="0" fontId="26" fillId="26" borderId="2" xfId="0" applyFont="1" applyFill="1" applyBorder="1" applyAlignment="1">
      <alignment horizontal="left" vertical="center" wrapText="1"/>
    </xf>
    <xf numFmtId="0" fontId="40" fillId="29" borderId="2" xfId="0" applyFont="1" applyFill="1" applyBorder="1" applyAlignment="1">
      <alignment horizontal="left" vertical="center" wrapText="1"/>
    </xf>
    <xf numFmtId="0" fontId="26" fillId="30" borderId="2" xfId="0" applyFont="1" applyFill="1" applyBorder="1" applyAlignment="1">
      <alignment horizontal="left" vertical="center" wrapText="1"/>
    </xf>
    <xf numFmtId="0" fontId="26" fillId="30" borderId="2" xfId="0" applyFont="1" applyFill="1" applyBorder="1" applyAlignment="1">
      <alignment horizontal="center" vertical="center" wrapText="1"/>
    </xf>
    <xf numFmtId="0" fontId="41" fillId="0" borderId="0" xfId="0" applyFont="1"/>
    <xf numFmtId="0" fontId="43" fillId="0" borderId="0" xfId="0" applyFont="1" applyAlignment="1">
      <alignment vertical="center" wrapText="1"/>
    </xf>
    <xf numFmtId="0" fontId="16" fillId="2" borderId="0" xfId="0" applyFont="1" applyFill="1" applyAlignment="1">
      <alignment horizontal="center"/>
    </xf>
    <xf numFmtId="0" fontId="34" fillId="31" borderId="0" xfId="0" applyFont="1" applyFill="1" applyAlignment="1">
      <alignment vertical="center" wrapText="1"/>
    </xf>
    <xf numFmtId="167" fontId="44" fillId="27" borderId="0" xfId="0" applyNumberFormat="1" applyFont="1" applyFill="1" applyAlignment="1">
      <alignment vertical="center" wrapText="1"/>
    </xf>
    <xf numFmtId="0" fontId="44" fillId="27" borderId="0" xfId="0" applyFont="1" applyFill="1" applyAlignment="1">
      <alignment vertical="center" wrapText="1"/>
    </xf>
    <xf numFmtId="0" fontId="45" fillId="27" borderId="0" xfId="0" applyFont="1" applyFill="1" applyAlignment="1">
      <alignment vertical="center" wrapText="1"/>
    </xf>
    <xf numFmtId="0" fontId="45" fillId="26" borderId="0" xfId="0" applyFont="1" applyFill="1" applyAlignment="1">
      <alignment vertical="center" wrapText="1"/>
    </xf>
    <xf numFmtId="0" fontId="1" fillId="32" borderId="0" xfId="0" applyFont="1" applyFill="1" applyAlignment="1">
      <alignment vertical="center" wrapText="1"/>
    </xf>
    <xf numFmtId="167" fontId="44" fillId="27" borderId="3" xfId="0" applyNumberFormat="1" applyFont="1" applyFill="1" applyBorder="1" applyAlignment="1">
      <alignment vertical="center" wrapText="1"/>
    </xf>
    <xf numFmtId="0" fontId="34" fillId="32" borderId="0" xfId="0" applyFont="1" applyFill="1" applyAlignment="1">
      <alignment vertical="center" wrapText="1"/>
    </xf>
    <xf numFmtId="9" fontId="47" fillId="20" borderId="3" xfId="0" applyNumberFormat="1" applyFont="1" applyFill="1" applyBorder="1" applyAlignment="1">
      <alignment horizontal="right" vertical="center"/>
    </xf>
    <xf numFmtId="0" fontId="45" fillId="30" borderId="0" xfId="0" applyFont="1" applyFill="1" applyAlignment="1">
      <alignment vertical="center" wrapText="1"/>
    </xf>
    <xf numFmtId="0" fontId="1" fillId="29" borderId="0" xfId="0" applyFont="1" applyFill="1" applyAlignment="1">
      <alignment vertical="center" wrapText="1"/>
    </xf>
    <xf numFmtId="4" fontId="47" fillId="20" borderId="3" xfId="0" applyNumberFormat="1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1" fontId="42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2" fontId="52" fillId="33" borderId="0" xfId="0" applyNumberFormat="1" applyFont="1" applyFill="1"/>
    <xf numFmtId="0" fontId="53" fillId="0" borderId="0" xfId="0" applyFont="1" applyAlignment="1">
      <alignment horizontal="left" vertical="center"/>
    </xf>
    <xf numFmtId="2" fontId="54" fillId="34" borderId="0" xfId="0" applyNumberFormat="1" applyFont="1" applyFill="1"/>
    <xf numFmtId="0" fontId="16" fillId="2" borderId="0" xfId="0" applyFont="1" applyFill="1" applyAlignment="1">
      <alignment horizontal="center" vertical="center"/>
    </xf>
    <xf numFmtId="0" fontId="55" fillId="33" borderId="0" xfId="0" applyFont="1" applyFill="1" applyAlignment="1">
      <alignment horizontal="left" vertical="center"/>
    </xf>
    <xf numFmtId="169" fontId="56" fillId="33" borderId="0" xfId="0" applyNumberFormat="1" applyFont="1" applyFill="1" applyAlignment="1">
      <alignment horizontal="right" vertical="center"/>
    </xf>
    <xf numFmtId="0" fontId="48" fillId="35" borderId="0" xfId="0" applyFont="1" applyFill="1" applyAlignment="1">
      <alignment horizontal="left" vertical="center"/>
    </xf>
    <xf numFmtId="169" fontId="57" fillId="35" borderId="0" xfId="0" applyNumberFormat="1" applyFont="1" applyFill="1" applyAlignment="1">
      <alignment horizontal="right" vertical="center"/>
    </xf>
    <xf numFmtId="0" fontId="55" fillId="34" borderId="0" xfId="0" applyFont="1" applyFill="1" applyAlignment="1">
      <alignment horizontal="left" vertical="center"/>
    </xf>
    <xf numFmtId="169" fontId="56" fillId="34" borderId="0" xfId="0" applyNumberFormat="1" applyFont="1" applyFill="1" applyAlignment="1">
      <alignment horizontal="right" vertical="center"/>
    </xf>
    <xf numFmtId="0" fontId="48" fillId="33" borderId="0" xfId="0" applyFont="1" applyFill="1" applyAlignment="1">
      <alignment horizontal="left" vertical="center"/>
    </xf>
    <xf numFmtId="169" fontId="57" fillId="33" borderId="0" xfId="0" applyNumberFormat="1" applyFont="1" applyFill="1" applyAlignment="1">
      <alignment horizontal="right" vertical="center"/>
    </xf>
    <xf numFmtId="0" fontId="48" fillId="34" borderId="0" xfId="0" applyFont="1" applyFill="1" applyAlignment="1">
      <alignment horizontal="left" vertical="center"/>
    </xf>
    <xf numFmtId="169" fontId="57" fillId="34" borderId="0" xfId="0" applyNumberFormat="1" applyFont="1" applyFill="1" applyAlignment="1">
      <alignment horizontal="right" vertical="center"/>
    </xf>
    <xf numFmtId="0" fontId="58" fillId="33" borderId="0" xfId="0" applyFont="1" applyFill="1" applyAlignment="1">
      <alignment horizontal="left" vertical="center"/>
    </xf>
    <xf numFmtId="0" fontId="58" fillId="33" borderId="0" xfId="0" applyFont="1" applyFill="1"/>
    <xf numFmtId="0" fontId="9" fillId="35" borderId="0" xfId="0" applyFont="1" applyFill="1" applyAlignment="1">
      <alignment horizontal="left" vertical="center"/>
    </xf>
    <xf numFmtId="0" fontId="9" fillId="35" borderId="0" xfId="0" applyFont="1" applyFill="1"/>
    <xf numFmtId="0" fontId="59" fillId="34" borderId="0" xfId="0" applyFont="1" applyFill="1" applyAlignment="1">
      <alignment horizontal="left" vertical="center"/>
    </xf>
    <xf numFmtId="0" fontId="59" fillId="34" borderId="0" xfId="0" applyFont="1" applyFill="1"/>
    <xf numFmtId="0" fontId="45" fillId="36" borderId="0" xfId="0" applyFont="1" applyFill="1" applyAlignment="1">
      <alignment vertical="center" wrapText="1"/>
    </xf>
    <xf numFmtId="0" fontId="43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 wrapText="1"/>
    </xf>
    <xf numFmtId="0" fontId="45" fillId="26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/>
    </xf>
    <xf numFmtId="0" fontId="34" fillId="27" borderId="2" xfId="0" applyFont="1" applyFill="1" applyBorder="1" applyAlignment="1">
      <alignment horizontal="left" vertical="center" wrapText="1"/>
    </xf>
    <xf numFmtId="168" fontId="44" fillId="27" borderId="2" xfId="0" applyNumberFormat="1" applyFont="1" applyFill="1" applyBorder="1" applyAlignment="1">
      <alignment horizontal="center" vertical="center" wrapText="1"/>
    </xf>
    <xf numFmtId="0" fontId="44" fillId="27" borderId="2" xfId="0" applyFont="1" applyFill="1" applyBorder="1" applyAlignment="1">
      <alignment horizontal="center" vertical="center" wrapText="1"/>
    </xf>
    <xf numFmtId="0" fontId="34" fillId="27" borderId="2" xfId="0" applyFont="1" applyFill="1" applyBorder="1" applyAlignment="1">
      <alignment horizontal="center" vertical="center" wrapText="1"/>
    </xf>
    <xf numFmtId="0" fontId="60" fillId="27" borderId="2" xfId="0" applyFont="1" applyFill="1" applyBorder="1" applyAlignment="1">
      <alignment horizontal="left" vertical="center" wrapText="1"/>
    </xf>
    <xf numFmtId="0" fontId="45" fillId="26" borderId="2" xfId="0" applyFont="1" applyFill="1" applyBorder="1" applyAlignment="1">
      <alignment horizontal="center" vertical="center" wrapText="1"/>
    </xf>
    <xf numFmtId="0" fontId="35" fillId="36" borderId="2" xfId="0" applyFont="1" applyFill="1" applyBorder="1" applyAlignment="1">
      <alignment horizontal="left" vertical="center" wrapText="1"/>
    </xf>
    <xf numFmtId="3" fontId="46" fillId="28" borderId="2" xfId="0" applyNumberFormat="1" applyFont="1" applyFill="1" applyBorder="1" applyAlignment="1">
      <alignment horizontal="right" vertical="center"/>
    </xf>
    <xf numFmtId="3" fontId="47" fillId="20" borderId="2" xfId="0" applyNumberFormat="1" applyFont="1" applyFill="1" applyBorder="1" applyAlignment="1">
      <alignment horizontal="right" vertical="center"/>
    </xf>
    <xf numFmtId="0" fontId="1" fillId="32" borderId="2" xfId="0" applyFont="1" applyFill="1" applyBorder="1" applyAlignment="1">
      <alignment horizontal="left" vertical="center" wrapText="1"/>
    </xf>
    <xf numFmtId="167" fontId="61" fillId="20" borderId="2" xfId="0" applyNumberFormat="1" applyFont="1" applyFill="1" applyBorder="1" applyAlignment="1">
      <alignment horizontal="center" vertical="center" wrapText="1"/>
    </xf>
    <xf numFmtId="0" fontId="34" fillId="20" borderId="2" xfId="0" applyFont="1" applyFill="1" applyBorder="1" applyAlignment="1">
      <alignment horizontal="left" vertical="center" wrapText="1"/>
    </xf>
    <xf numFmtId="167" fontId="44" fillId="27" borderId="2" xfId="0" applyNumberFormat="1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left" vertical="center" wrapText="1"/>
    </xf>
    <xf numFmtId="0" fontId="34" fillId="31" borderId="2" xfId="0" applyFont="1" applyFill="1" applyBorder="1" applyAlignment="1">
      <alignment horizontal="left" vertical="center" wrapText="1"/>
    </xf>
    <xf numFmtId="0" fontId="0" fillId="36" borderId="2" xfId="0" applyFill="1" applyBorder="1" applyAlignment="1">
      <alignment horizontal="left" vertical="center" wrapText="1"/>
    </xf>
    <xf numFmtId="168" fontId="0" fillId="27" borderId="0" xfId="0" applyNumberFormat="1" applyFill="1"/>
    <xf numFmtId="168" fontId="61" fillId="27" borderId="2" xfId="0" applyNumberFormat="1" applyFont="1" applyFill="1" applyBorder="1" applyAlignment="1">
      <alignment horizontal="center" vertical="center" wrapText="1"/>
    </xf>
    <xf numFmtId="0" fontId="34" fillId="3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46" fillId="28" borderId="0" xfId="0" applyNumberFormat="1" applyFont="1" applyFill="1" applyAlignment="1">
      <alignment horizontal="right" vertical="center"/>
    </xf>
    <xf numFmtId="170" fontId="61" fillId="37" borderId="2" xfId="0" applyNumberFormat="1" applyFont="1" applyFill="1" applyBorder="1" applyAlignment="1">
      <alignment horizontal="center" vertical="center" wrapText="1"/>
    </xf>
    <xf numFmtId="0" fontId="45" fillId="30" borderId="2" xfId="0" applyFont="1" applyFill="1" applyBorder="1" applyAlignment="1">
      <alignment horizontal="left" vertical="center" wrapText="1"/>
    </xf>
    <xf numFmtId="0" fontId="35" fillId="30" borderId="2" xfId="0" applyFont="1" applyFill="1" applyBorder="1" applyAlignment="1">
      <alignment horizontal="left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9" fontId="46" fillId="28" borderId="2" xfId="0" applyNumberFormat="1" applyFont="1" applyFill="1" applyBorder="1" applyAlignment="1">
      <alignment horizontal="right" vertical="center"/>
    </xf>
    <xf numFmtId="9" fontId="47" fillId="20" borderId="2" xfId="0" applyNumberFormat="1" applyFont="1" applyFill="1" applyBorder="1" applyAlignment="1">
      <alignment horizontal="right" vertical="center"/>
    </xf>
    <xf numFmtId="0" fontId="16" fillId="2" borderId="2" xfId="0" applyFont="1" applyFill="1" applyBorder="1" applyAlignment="1">
      <alignment horizontal="center" vertical="center"/>
    </xf>
    <xf numFmtId="0" fontId="57" fillId="38" borderId="2" xfId="0" applyFont="1" applyFill="1" applyBorder="1" applyAlignment="1">
      <alignment horizontal="left" vertical="center" wrapText="1"/>
    </xf>
    <xf numFmtId="0" fontId="56" fillId="38" borderId="2" xfId="0" applyFont="1" applyFill="1" applyBorder="1" applyAlignment="1">
      <alignment horizontal="left" vertical="center" wrapText="1"/>
    </xf>
    <xf numFmtId="169" fontId="56" fillId="38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27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57" fillId="39" borderId="2" xfId="0" applyFont="1" applyFill="1" applyBorder="1" applyAlignment="1">
      <alignment horizontal="left" vertical="center" wrapText="1"/>
    </xf>
    <xf numFmtId="0" fontId="56" fillId="39" borderId="2" xfId="0" applyFont="1" applyFill="1" applyBorder="1" applyAlignment="1">
      <alignment horizontal="left" vertical="center" wrapText="1"/>
    </xf>
    <xf numFmtId="169" fontId="56" fillId="39" borderId="2" xfId="0" applyNumberFormat="1" applyFont="1" applyFill="1" applyBorder="1" applyAlignment="1">
      <alignment horizontal="center" vertical="center" wrapText="1"/>
    </xf>
    <xf numFmtId="167" fontId="20" fillId="27" borderId="2" xfId="0" applyNumberFormat="1" applyFont="1" applyFill="1" applyBorder="1" applyAlignment="1">
      <alignment horizontal="center" vertical="center" wrapText="1"/>
    </xf>
    <xf numFmtId="0" fontId="57" fillId="40" borderId="2" xfId="0" applyFont="1" applyFill="1" applyBorder="1" applyAlignment="1">
      <alignment horizontal="left" vertical="center" wrapText="1"/>
    </xf>
    <xf numFmtId="0" fontId="56" fillId="40" borderId="2" xfId="0" applyFont="1" applyFill="1" applyBorder="1" applyAlignment="1">
      <alignment horizontal="left" vertical="center" wrapText="1"/>
    </xf>
    <xf numFmtId="169" fontId="56" fillId="40" borderId="2" xfId="0" applyNumberFormat="1" applyFont="1" applyFill="1" applyBorder="1" applyAlignment="1">
      <alignment horizontal="center" vertical="center" wrapText="1"/>
    </xf>
    <xf numFmtId="0" fontId="57" fillId="41" borderId="2" xfId="0" applyFont="1" applyFill="1" applyBorder="1" applyAlignment="1">
      <alignment horizontal="left" vertical="center" wrapText="1"/>
    </xf>
    <xf numFmtId="0" fontId="56" fillId="41" borderId="2" xfId="0" applyFont="1" applyFill="1" applyBorder="1" applyAlignment="1">
      <alignment horizontal="left" vertical="center" wrapText="1"/>
    </xf>
    <xf numFmtId="169" fontId="56" fillId="41" borderId="2" xfId="0" applyNumberFormat="1" applyFont="1" applyFill="1" applyBorder="1" applyAlignment="1">
      <alignment horizontal="center" vertical="center" wrapText="1"/>
    </xf>
    <xf numFmtId="167" fontId="56" fillId="41" borderId="2" xfId="0" applyNumberFormat="1" applyFont="1" applyFill="1" applyBorder="1" applyAlignment="1">
      <alignment horizontal="left" vertical="center" wrapText="1"/>
    </xf>
    <xf numFmtId="167" fontId="20" fillId="0" borderId="2" xfId="0" applyNumberFormat="1" applyFont="1" applyBorder="1" applyAlignment="1">
      <alignment horizontal="left" vertical="center" wrapText="1"/>
    </xf>
    <xf numFmtId="0" fontId="57" fillId="42" borderId="2" xfId="0" applyFont="1" applyFill="1" applyBorder="1" applyAlignment="1">
      <alignment horizontal="left" vertical="center" wrapText="1"/>
    </xf>
    <xf numFmtId="167" fontId="56" fillId="42" borderId="2" xfId="0" applyNumberFormat="1" applyFont="1" applyFill="1" applyBorder="1" applyAlignment="1">
      <alignment horizontal="left" vertical="center" wrapText="1"/>
    </xf>
    <xf numFmtId="169" fontId="56" fillId="42" borderId="2" xfId="0" applyNumberFormat="1" applyFont="1" applyFill="1" applyBorder="1" applyAlignment="1">
      <alignment horizontal="center" vertical="center" wrapText="1"/>
    </xf>
    <xf numFmtId="0" fontId="56" fillId="42" borderId="2" xfId="0" applyFont="1" applyFill="1" applyBorder="1" applyAlignment="1">
      <alignment horizontal="left" vertical="center" wrapText="1"/>
    </xf>
    <xf numFmtId="171" fontId="20" fillId="27" borderId="2" xfId="0" applyNumberFormat="1" applyFont="1" applyFill="1" applyBorder="1" applyAlignment="1">
      <alignment horizontal="center" vertical="center" wrapText="1"/>
    </xf>
    <xf numFmtId="0" fontId="62" fillId="0" borderId="0" xfId="0" applyFont="1"/>
    <xf numFmtId="171" fontId="62" fillId="0" borderId="0" xfId="0" applyNumberFormat="1" applyFont="1"/>
    <xf numFmtId="0" fontId="16" fillId="2" borderId="0" xfId="0" applyFont="1" applyFill="1" applyAlignment="1">
      <alignment horizontal="center" vertical="center" wrapText="1"/>
    </xf>
    <xf numFmtId="0" fontId="8" fillId="38" borderId="0" xfId="0" applyFont="1" applyFill="1" applyAlignment="1">
      <alignment horizontal="left" vertical="center"/>
    </xf>
    <xf numFmtId="169" fontId="55" fillId="38" borderId="0" xfId="0" applyNumberFormat="1" applyFont="1" applyFill="1" applyAlignment="1">
      <alignment horizontal="right" vertical="center"/>
    </xf>
    <xf numFmtId="49" fontId="64" fillId="38" borderId="0" xfId="0" applyNumberFormat="1" applyFont="1" applyFill="1" applyAlignment="1">
      <alignment horizontal="left" vertical="center"/>
    </xf>
    <xf numFmtId="0" fontId="8" fillId="39" borderId="0" xfId="0" applyFont="1" applyFill="1" applyAlignment="1">
      <alignment horizontal="left" vertical="center"/>
    </xf>
    <xf numFmtId="169" fontId="55" fillId="39" borderId="0" xfId="0" applyNumberFormat="1" applyFont="1" applyFill="1" applyAlignment="1">
      <alignment horizontal="right" vertical="center"/>
    </xf>
    <xf numFmtId="49" fontId="64" fillId="39" borderId="0" xfId="0" applyNumberFormat="1" applyFont="1" applyFill="1" applyAlignment="1">
      <alignment horizontal="left" vertical="center"/>
    </xf>
    <xf numFmtId="0" fontId="8" fillId="40" borderId="0" xfId="0" applyFont="1" applyFill="1" applyAlignment="1">
      <alignment horizontal="left" vertical="center"/>
    </xf>
    <xf numFmtId="169" fontId="55" fillId="40" borderId="0" xfId="0" applyNumberFormat="1" applyFont="1" applyFill="1" applyAlignment="1">
      <alignment horizontal="right" vertical="center"/>
    </xf>
    <xf numFmtId="49" fontId="64" fillId="40" borderId="0" xfId="0" applyNumberFormat="1" applyFont="1" applyFill="1" applyAlignment="1">
      <alignment horizontal="left" vertical="center"/>
    </xf>
    <xf numFmtId="0" fontId="8" fillId="41" borderId="0" xfId="0" applyFont="1" applyFill="1" applyAlignment="1">
      <alignment horizontal="left" vertical="center"/>
    </xf>
    <xf numFmtId="169" fontId="55" fillId="41" borderId="0" xfId="0" applyNumberFormat="1" applyFont="1" applyFill="1" applyAlignment="1">
      <alignment horizontal="right" vertical="center"/>
    </xf>
    <xf numFmtId="49" fontId="64" fillId="41" borderId="0" xfId="0" applyNumberFormat="1" applyFont="1" applyFill="1" applyAlignment="1">
      <alignment horizontal="left" vertical="center"/>
    </xf>
    <xf numFmtId="0" fontId="8" fillId="42" borderId="0" xfId="0" applyFont="1" applyFill="1" applyAlignment="1">
      <alignment horizontal="left" vertical="center"/>
    </xf>
    <xf numFmtId="169" fontId="55" fillId="42" borderId="0" xfId="0" applyNumberFormat="1" applyFont="1" applyFill="1" applyAlignment="1">
      <alignment horizontal="right" vertical="center"/>
    </xf>
    <xf numFmtId="49" fontId="64" fillId="42" borderId="0" xfId="0" applyNumberFormat="1" applyFont="1" applyFill="1" applyAlignment="1">
      <alignment horizontal="left" vertical="center"/>
    </xf>
    <xf numFmtId="0" fontId="16" fillId="2" borderId="0" xfId="0" applyFont="1" applyFill="1"/>
    <xf numFmtId="169" fontId="65" fillId="2" borderId="0" xfId="0" applyNumberFormat="1" applyFont="1" applyFill="1" applyAlignment="1">
      <alignment horizontal="right" vertical="center"/>
    </xf>
    <xf numFmtId="0" fontId="66" fillId="2" borderId="0" xfId="0" applyFont="1" applyFill="1"/>
    <xf numFmtId="169" fontId="56" fillId="38" borderId="0" xfId="0" applyNumberFormat="1" applyFont="1" applyFill="1" applyAlignment="1">
      <alignment horizontal="center" vertical="center" wrapText="1"/>
    </xf>
    <xf numFmtId="169" fontId="56" fillId="39" borderId="0" xfId="0" applyNumberFormat="1" applyFont="1" applyFill="1" applyAlignment="1">
      <alignment horizontal="center" vertical="center" wrapText="1"/>
    </xf>
    <xf numFmtId="169" fontId="56" fillId="40" borderId="0" xfId="0" applyNumberFormat="1" applyFont="1" applyFill="1" applyAlignment="1">
      <alignment horizontal="center" vertical="center" wrapText="1"/>
    </xf>
    <xf numFmtId="169" fontId="56" fillId="41" borderId="0" xfId="0" applyNumberFormat="1" applyFont="1" applyFill="1" applyAlignment="1">
      <alignment horizontal="center" vertical="center" wrapText="1"/>
    </xf>
    <xf numFmtId="169" fontId="56" fillId="42" borderId="0" xfId="0" applyNumberFormat="1" applyFont="1" applyFill="1" applyAlignment="1">
      <alignment horizontal="center" vertical="center" wrapText="1"/>
    </xf>
    <xf numFmtId="0" fontId="67" fillId="0" borderId="0" xfId="0" applyFont="1" applyAlignment="1">
      <alignment horizontal="left" vertical="center"/>
    </xf>
    <xf numFmtId="0" fontId="57" fillId="0" borderId="0" xfId="0" applyFont="1"/>
    <xf numFmtId="0" fontId="56" fillId="0" borderId="0" xfId="0" applyFont="1"/>
    <xf numFmtId="169" fontId="0" fillId="0" borderId="0" xfId="0" applyNumberFormat="1"/>
    <xf numFmtId="0" fontId="48" fillId="39" borderId="0" xfId="0" applyFont="1" applyFill="1" applyAlignment="1">
      <alignment horizontal="left" vertical="center"/>
    </xf>
    <xf numFmtId="1" fontId="17" fillId="39" borderId="0" xfId="0" applyNumberFormat="1" applyFont="1" applyFill="1" applyAlignment="1">
      <alignment horizontal="center" vertical="center"/>
    </xf>
    <xf numFmtId="2" fontId="58" fillId="33" borderId="0" xfId="0" applyNumberFormat="1" applyFont="1" applyFill="1" applyAlignment="1">
      <alignment horizontal="center" vertical="center"/>
    </xf>
    <xf numFmtId="2" fontId="59" fillId="34" borderId="0" xfId="0" applyNumberFormat="1" applyFont="1" applyFill="1" applyAlignment="1">
      <alignment horizontal="center" vertical="center"/>
    </xf>
    <xf numFmtId="0" fontId="68" fillId="39" borderId="0" xfId="0" applyFont="1" applyFill="1"/>
    <xf numFmtId="0" fontId="48" fillId="40" borderId="0" xfId="0" applyFont="1" applyFill="1" applyAlignment="1">
      <alignment horizontal="left" vertical="center"/>
    </xf>
    <xf numFmtId="1" fontId="17" fillId="40" borderId="0" xfId="0" applyNumberFormat="1" applyFont="1" applyFill="1" applyAlignment="1">
      <alignment horizontal="center" vertical="center"/>
    </xf>
    <xf numFmtId="0" fontId="68" fillId="40" borderId="0" xfId="0" applyFont="1" applyFill="1"/>
    <xf numFmtId="0" fontId="48" fillId="41" borderId="0" xfId="0" applyFont="1" applyFill="1" applyAlignment="1">
      <alignment horizontal="left" vertical="center"/>
    </xf>
    <xf numFmtId="1" fontId="17" fillId="41" borderId="0" xfId="0" applyNumberFormat="1" applyFont="1" applyFill="1" applyAlignment="1">
      <alignment horizontal="center" vertical="center"/>
    </xf>
    <xf numFmtId="0" fontId="68" fillId="41" borderId="0" xfId="0" applyFont="1" applyFill="1"/>
    <xf numFmtId="0" fontId="48" fillId="42" borderId="0" xfId="0" applyFont="1" applyFill="1" applyAlignment="1">
      <alignment horizontal="left" vertical="center"/>
    </xf>
    <xf numFmtId="1" fontId="17" fillId="42" borderId="0" xfId="0" applyNumberFormat="1" applyFont="1" applyFill="1" applyAlignment="1">
      <alignment horizontal="center" vertical="center"/>
    </xf>
    <xf numFmtId="0" fontId="68" fillId="42" borderId="0" xfId="0" applyFont="1" applyFill="1"/>
    <xf numFmtId="0" fontId="3" fillId="43" borderId="0" xfId="0" applyFont="1" applyFill="1" applyAlignment="1">
      <alignment horizontal="center" vertical="center" wrapText="1"/>
    </xf>
    <xf numFmtId="0" fontId="3" fillId="44" borderId="0" xfId="0" applyFont="1" applyFill="1" applyAlignment="1">
      <alignment horizontal="center" vertical="center" wrapText="1"/>
    </xf>
    <xf numFmtId="0" fontId="3" fillId="45" borderId="0" xfId="0" applyFont="1" applyFill="1" applyAlignment="1">
      <alignment horizontal="center" vertical="center" wrapText="1"/>
    </xf>
    <xf numFmtId="169" fontId="58" fillId="33" borderId="0" xfId="0" applyNumberFormat="1" applyFont="1" applyFill="1" applyAlignment="1">
      <alignment horizontal="right" vertical="center"/>
    </xf>
    <xf numFmtId="169" fontId="9" fillId="35" borderId="0" xfId="0" applyNumberFormat="1" applyFont="1" applyFill="1" applyAlignment="1">
      <alignment horizontal="right" vertical="center"/>
    </xf>
    <xf numFmtId="169" fontId="59" fillId="34" borderId="0" xfId="0" applyNumberFormat="1" applyFont="1" applyFill="1" applyAlignment="1">
      <alignment horizontal="right" vertical="center"/>
    </xf>
    <xf numFmtId="49" fontId="58" fillId="33" borderId="0" xfId="0" applyNumberFormat="1" applyFont="1" applyFill="1" applyAlignment="1">
      <alignment horizontal="right" vertical="center"/>
    </xf>
    <xf numFmtId="49" fontId="59" fillId="34" borderId="0" xfId="0" applyNumberFormat="1" applyFont="1" applyFill="1" applyAlignment="1">
      <alignment horizontal="right" vertical="center"/>
    </xf>
    <xf numFmtId="3" fontId="38" fillId="46" borderId="2" xfId="0" applyNumberFormat="1" applyFont="1" applyFill="1" applyBorder="1" applyAlignment="1">
      <alignment horizontal="right" vertical="center"/>
    </xf>
    <xf numFmtId="3" fontId="39" fillId="47" borderId="2" xfId="0" applyNumberFormat="1" applyFont="1" applyFill="1" applyBorder="1" applyAlignment="1">
      <alignment horizontal="right" vertical="center"/>
    </xf>
    <xf numFmtId="3" fontId="46" fillId="47" borderId="3" xfId="0" applyNumberFormat="1" applyFont="1" applyFill="1" applyBorder="1" applyAlignment="1">
      <alignment horizontal="right" vertical="center"/>
    </xf>
    <xf numFmtId="3" fontId="47" fillId="46" borderId="3" xfId="0" applyNumberFormat="1" applyFont="1" applyFill="1" applyBorder="1" applyAlignment="1">
      <alignment horizontal="right" vertical="center"/>
    </xf>
    <xf numFmtId="9" fontId="47" fillId="46" borderId="3" xfId="0" applyNumberFormat="1" applyFont="1" applyFill="1" applyBorder="1" applyAlignment="1">
      <alignment horizontal="right" vertical="center"/>
    </xf>
    <xf numFmtId="9" fontId="46" fillId="47" borderId="3" xfId="0" applyNumberFormat="1" applyFont="1" applyFill="1" applyBorder="1" applyAlignment="1">
      <alignment horizontal="right" vertical="center"/>
    </xf>
    <xf numFmtId="3" fontId="46" fillId="47" borderId="2" xfId="0" applyNumberFormat="1" applyFont="1" applyFill="1" applyBorder="1" applyAlignment="1">
      <alignment horizontal="right" vertical="center"/>
    </xf>
    <xf numFmtId="3" fontId="47" fillId="46" borderId="2" xfId="0" applyNumberFormat="1" applyFont="1" applyFill="1" applyBorder="1" applyAlignment="1">
      <alignment horizontal="right" vertical="center"/>
    </xf>
    <xf numFmtId="4" fontId="47" fillId="46" borderId="2" xfId="0" applyNumberFormat="1" applyFont="1" applyFill="1" applyBorder="1" applyAlignment="1">
      <alignment horizontal="right" vertical="center"/>
    </xf>
    <xf numFmtId="3" fontId="46" fillId="47" borderId="0" xfId="0" applyNumberFormat="1" applyFont="1" applyFill="1" applyAlignment="1">
      <alignment horizontal="right" vertical="center"/>
    </xf>
    <xf numFmtId="0" fontId="34" fillId="48" borderId="2" xfId="0" applyFont="1" applyFill="1" applyBorder="1" applyAlignment="1">
      <alignment horizontal="left" vertical="center" wrapText="1"/>
    </xf>
    <xf numFmtId="0" fontId="34" fillId="49" borderId="2" xfId="0" applyFont="1" applyFill="1" applyBorder="1" applyAlignment="1">
      <alignment horizontal="left" vertical="center" wrapText="1"/>
    </xf>
    <xf numFmtId="0" fontId="7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164" fontId="4" fillId="8" borderId="0" xfId="0" applyNumberFormat="1" applyFont="1" applyFill="1" applyAlignment="1">
      <alignment horizontal="center" vertical="center"/>
    </xf>
    <xf numFmtId="165" fontId="4" fillId="9" borderId="0" xfId="0" applyNumberFormat="1" applyFont="1" applyFill="1" applyAlignment="1">
      <alignment horizontal="center" vertical="center"/>
    </xf>
    <xf numFmtId="9" fontId="4" fillId="10" borderId="0" xfId="0" applyNumberFormat="1" applyFont="1" applyFill="1" applyAlignment="1">
      <alignment horizontal="center" vertical="center"/>
    </xf>
    <xf numFmtId="164" fontId="4" fillId="11" borderId="0" xfId="0" applyNumberFormat="1" applyFont="1" applyFill="1" applyAlignment="1">
      <alignment horizontal="center" vertical="center"/>
    </xf>
    <xf numFmtId="164" fontId="4" fillId="12" borderId="0" xfId="0" applyNumberFormat="1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0" fontId="6" fillId="19" borderId="0" xfId="0" applyFont="1" applyFill="1" applyAlignment="1">
      <alignment horizontal="left" vertical="center" wrapText="1"/>
    </xf>
    <xf numFmtId="3" fontId="7" fillId="19" borderId="0" xfId="0" applyNumberFormat="1" applyFont="1" applyFill="1" applyAlignment="1">
      <alignment horizontal="center" vertical="center"/>
    </xf>
    <xf numFmtId="3" fontId="8" fillId="8" borderId="0" xfId="0" applyNumberFormat="1" applyFont="1" applyFill="1" applyAlignment="1">
      <alignment horizontal="center" vertical="center"/>
    </xf>
    <xf numFmtId="0" fontId="9" fillId="19" borderId="0" xfId="0" applyFont="1" applyFill="1" applyAlignment="1">
      <alignment horizontal="center" vertical="center"/>
    </xf>
    <xf numFmtId="0" fontId="10" fillId="19" borderId="0" xfId="0" applyFont="1" applyFill="1" applyAlignment="1">
      <alignment horizontal="center" vertical="center"/>
    </xf>
    <xf numFmtId="0" fontId="11" fillId="19" borderId="0" xfId="0" applyFont="1" applyFill="1" applyAlignment="1">
      <alignment horizontal="left" vertical="center" wrapText="1"/>
    </xf>
    <xf numFmtId="0" fontId="6" fillId="20" borderId="0" xfId="0" applyFont="1" applyFill="1" applyAlignment="1">
      <alignment horizontal="left" vertical="center" wrapText="1"/>
    </xf>
    <xf numFmtId="3" fontId="7" fillId="20" borderId="0" xfId="0" applyNumberFormat="1" applyFont="1" applyFill="1" applyAlignment="1">
      <alignment horizontal="center" vertical="center"/>
    </xf>
    <xf numFmtId="0" fontId="9" fillId="20" borderId="0" xfId="0" applyFont="1" applyFill="1" applyAlignment="1">
      <alignment horizontal="center" vertical="center"/>
    </xf>
    <xf numFmtId="0" fontId="10" fillId="20" borderId="0" xfId="0" applyFont="1" applyFill="1" applyAlignment="1">
      <alignment horizontal="center" vertical="center"/>
    </xf>
    <xf numFmtId="0" fontId="11" fillId="20" borderId="0" xfId="0" applyFont="1" applyFill="1" applyAlignment="1">
      <alignment horizontal="left" vertical="center" wrapText="1"/>
    </xf>
    <xf numFmtId="166" fontId="7" fillId="20" borderId="0" xfId="0" applyNumberFormat="1" applyFont="1" applyFill="1" applyAlignment="1">
      <alignment horizontal="center" vertical="center"/>
    </xf>
    <xf numFmtId="166" fontId="8" fillId="8" borderId="0" xfId="0" applyNumberFormat="1" applyFont="1" applyFill="1" applyAlignment="1">
      <alignment horizontal="center" vertical="center"/>
    </xf>
    <xf numFmtId="165" fontId="7" fillId="19" borderId="0" xfId="0" applyNumberFormat="1" applyFont="1" applyFill="1" applyAlignment="1">
      <alignment horizontal="center" vertical="center"/>
    </xf>
    <xf numFmtId="165" fontId="8" fillId="8" borderId="0" xfId="0" applyNumberFormat="1" applyFont="1" applyFill="1" applyAlignment="1">
      <alignment horizontal="center" vertical="center"/>
    </xf>
    <xf numFmtId="9" fontId="7" fillId="19" borderId="0" xfId="0" applyNumberFormat="1" applyFont="1" applyFill="1" applyAlignment="1">
      <alignment horizontal="center" vertical="center"/>
    </xf>
    <xf numFmtId="9" fontId="8" fillId="8" borderId="0" xfId="0" applyNumberFormat="1" applyFont="1" applyFill="1" applyAlignment="1">
      <alignment horizontal="center" vertical="center"/>
    </xf>
    <xf numFmtId="9" fontId="7" fillId="20" borderId="0" xfId="0" applyNumberFormat="1" applyFont="1" applyFill="1" applyAlignment="1">
      <alignment horizontal="center" vertical="center"/>
    </xf>
    <xf numFmtId="0" fontId="12" fillId="20" borderId="0" xfId="0" applyFont="1" applyFill="1" applyAlignment="1">
      <alignment horizontal="center" vertical="center"/>
    </xf>
    <xf numFmtId="1" fontId="7" fillId="19" borderId="0" xfId="0" applyNumberFormat="1" applyFont="1" applyFill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13" fillId="8" borderId="0" xfId="0" applyNumberFormat="1" applyFont="1" applyFill="1" applyAlignment="1">
      <alignment horizontal="left" vertical="center" wrapText="1"/>
    </xf>
    <xf numFmtId="1" fontId="14" fillId="8" borderId="0" xfId="0" applyNumberFormat="1" applyFont="1" applyFill="1" applyAlignment="1">
      <alignment horizontal="center" vertical="center" wrapText="1"/>
    </xf>
    <xf numFmtId="9" fontId="14" fillId="8" borderId="0" xfId="0" applyNumberFormat="1" applyFont="1" applyFill="1" applyAlignment="1">
      <alignment horizontal="center" vertical="center" wrapText="1"/>
    </xf>
    <xf numFmtId="49" fontId="14" fillId="8" borderId="0" xfId="0" applyNumberFormat="1" applyFont="1" applyFill="1" applyAlignment="1">
      <alignment horizontal="center" vertical="center" wrapText="1"/>
    </xf>
    <xf numFmtId="49" fontId="14" fillId="8" borderId="0" xfId="0" applyNumberFormat="1" applyFont="1" applyFill="1" applyAlignment="1">
      <alignment horizontal="left" vertical="center" wrapText="1"/>
    </xf>
    <xf numFmtId="49" fontId="15" fillId="8" borderId="0" xfId="0" applyNumberFormat="1" applyFont="1" applyFill="1" applyAlignment="1">
      <alignment horizontal="left" vertical="center" wrapText="1"/>
    </xf>
    <xf numFmtId="49" fontId="13" fillId="9" borderId="0" xfId="0" applyNumberFormat="1" applyFont="1" applyFill="1" applyAlignment="1">
      <alignment horizontal="left" vertical="center" wrapText="1"/>
    </xf>
    <xf numFmtId="1" fontId="14" fillId="9" borderId="0" xfId="0" applyNumberFormat="1" applyFont="1" applyFill="1" applyAlignment="1">
      <alignment horizontal="center" vertical="center" wrapText="1"/>
    </xf>
    <xf numFmtId="9" fontId="14" fillId="9" borderId="0" xfId="0" applyNumberFormat="1" applyFont="1" applyFill="1" applyAlignment="1">
      <alignment horizontal="center" vertical="center" wrapText="1"/>
    </xf>
    <xf numFmtId="49" fontId="14" fillId="9" borderId="0" xfId="0" applyNumberFormat="1" applyFont="1" applyFill="1" applyAlignment="1">
      <alignment horizontal="center" vertical="center" wrapText="1"/>
    </xf>
    <xf numFmtId="49" fontId="14" fillId="9" borderId="0" xfId="0" applyNumberFormat="1" applyFont="1" applyFill="1" applyAlignment="1">
      <alignment horizontal="left" vertical="center" wrapText="1"/>
    </xf>
    <xf numFmtId="49" fontId="15" fillId="9" borderId="0" xfId="0" applyNumberFormat="1" applyFont="1" applyFill="1" applyAlignment="1">
      <alignment horizontal="left" vertical="center" wrapText="1"/>
    </xf>
    <xf numFmtId="49" fontId="13" fillId="11" borderId="0" xfId="0" applyNumberFormat="1" applyFont="1" applyFill="1" applyAlignment="1">
      <alignment horizontal="left" vertical="center" wrapText="1"/>
    </xf>
    <xf numFmtId="1" fontId="14" fillId="11" borderId="0" xfId="0" applyNumberFormat="1" applyFont="1" applyFill="1" applyAlignment="1">
      <alignment horizontal="center" vertical="center" wrapText="1"/>
    </xf>
    <xf numFmtId="9" fontId="14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left" vertical="center" wrapText="1"/>
    </xf>
    <xf numFmtId="49" fontId="15" fillId="11" borderId="0" xfId="0" applyNumberFormat="1" applyFont="1" applyFill="1" applyAlignment="1">
      <alignment horizontal="left" vertical="center" wrapText="1"/>
    </xf>
    <xf numFmtId="0" fontId="14" fillId="21" borderId="0" xfId="0" applyFont="1" applyFill="1" applyAlignment="1">
      <alignment horizontal="left" vertical="center" wrapText="1"/>
    </xf>
    <xf numFmtId="0" fontId="14" fillId="14" borderId="0" xfId="0" applyFont="1" applyFill="1" applyAlignment="1">
      <alignment horizontal="left" vertical="center" wrapText="1"/>
    </xf>
    <xf numFmtId="0" fontId="14" fillId="22" borderId="0" xfId="0" applyFont="1" applyFill="1" applyAlignment="1">
      <alignment horizontal="left" vertical="center" wrapText="1"/>
    </xf>
    <xf numFmtId="0" fontId="14" fillId="15" borderId="0" xfId="0" applyFont="1" applyFill="1" applyAlignment="1">
      <alignment horizontal="left" vertical="center" wrapText="1"/>
    </xf>
    <xf numFmtId="0" fontId="0" fillId="0" borderId="0" xfId="0"/>
    <xf numFmtId="49" fontId="13" fillId="10" borderId="0" xfId="0" applyNumberFormat="1" applyFont="1" applyFill="1" applyAlignment="1">
      <alignment horizontal="left" vertical="center" wrapText="1"/>
    </xf>
    <xf numFmtId="1" fontId="14" fillId="10" borderId="0" xfId="0" applyNumberFormat="1" applyFont="1" applyFill="1" applyAlignment="1">
      <alignment horizontal="center" vertical="center" wrapText="1"/>
    </xf>
    <xf numFmtId="9" fontId="14" fillId="10" borderId="0" xfId="0" applyNumberFormat="1" applyFont="1" applyFill="1" applyAlignment="1">
      <alignment horizontal="center" vertical="center" wrapText="1"/>
    </xf>
    <xf numFmtId="49" fontId="14" fillId="10" borderId="0" xfId="0" applyNumberFormat="1" applyFont="1" applyFill="1" applyAlignment="1">
      <alignment horizontal="center" vertical="center" wrapText="1"/>
    </xf>
    <xf numFmtId="49" fontId="14" fillId="10" borderId="0" xfId="0" applyNumberFormat="1" applyFont="1" applyFill="1" applyAlignment="1">
      <alignment horizontal="left" vertical="center" wrapText="1"/>
    </xf>
    <xf numFmtId="49" fontId="15" fillId="10" borderId="0" xfId="0" applyNumberFormat="1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69" fillId="5" borderId="0" xfId="0" applyFont="1" applyFill="1"/>
    <xf numFmtId="0" fontId="50" fillId="0" borderId="0" xfId="0" applyFont="1"/>
    <xf numFmtId="0" fontId="45" fillId="26" borderId="0" xfId="0" applyFont="1" applyFill="1" applyAlignment="1">
      <alignment vertical="center" wrapText="1"/>
    </xf>
    <xf numFmtId="0" fontId="45" fillId="30" borderId="0" xfId="0" applyFont="1" applyFill="1" applyAlignment="1">
      <alignment vertical="center" wrapText="1"/>
    </xf>
    <xf numFmtId="0" fontId="45" fillId="36" borderId="0" xfId="0" applyFont="1" applyFill="1" applyAlignment="1">
      <alignment vertical="center" wrapText="1"/>
    </xf>
    <xf numFmtId="0" fontId="20" fillId="0" borderId="0" xfId="0" applyFont="1" applyAlignment="1">
      <alignment wrapText="1"/>
    </xf>
    <xf numFmtId="0" fontId="63" fillId="2" borderId="0" xfId="0" applyFont="1" applyFill="1" applyAlignment="1">
      <alignment horizontal="left" vertical="center"/>
    </xf>
    <xf numFmtId="0" fontId="57" fillId="39" borderId="0" xfId="0" applyFont="1" applyFill="1"/>
    <xf numFmtId="0" fontId="57" fillId="40" borderId="0" xfId="0" applyFont="1" applyFill="1"/>
    <xf numFmtId="0" fontId="57" fillId="41" borderId="0" xfId="0" applyFont="1" applyFill="1"/>
    <xf numFmtId="0" fontId="57" fillId="4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74B14"/>
      <rgbColor rgb="FFAEAD30"/>
      <rgbColor rgb="FF0000FF"/>
      <rgbColor rgb="FFFFFF00"/>
      <rgbColor rgb="FFD0C620"/>
      <rgbColor rgb="FFD9D9D9"/>
      <rgbColor rgb="FFAA0000"/>
      <rgbColor rgb="FFAEAD20"/>
      <rgbColor rgb="FF0000AA"/>
      <rgbColor rgb="FFAEAD18"/>
      <rgbColor rgb="FF6B21A8"/>
      <rgbColor rgb="FF1F497D"/>
      <rgbColor rgb="FFBEBEBE"/>
      <rgbColor rgb="FF808080"/>
      <rgbColor rgb="FFA6A6A6"/>
      <rgbColor rgb="FFC74850"/>
      <rgbColor rgb="FFFFF9C4"/>
      <rgbColor rgb="FFE0EDFF"/>
      <rgbColor rgb="FFD0C630"/>
      <rgbColor rgb="FFDB7250"/>
      <rgbColor rgb="FF1565C0"/>
      <rgbColor rgb="FFC6D9F1"/>
      <rgbColor rgb="FFF5F5F5"/>
      <rgbColor rgb="FFF3E5FF"/>
      <rgbColor rgb="FFC5D730"/>
      <rgbColor rgb="FFD8DB72"/>
      <rgbColor rgb="FFD0C650"/>
      <rgbColor rgb="FFD0C618"/>
      <rgbColor rgb="FF888888"/>
      <rgbColor rgb="FFFFE8E8"/>
      <rgbColor rgb="FFAEAD50"/>
      <rgbColor rgb="FFE8F5E8"/>
      <rgbColor rgb="FFF3F2F4"/>
      <rgbColor rgb="FFFDEADA"/>
      <rgbColor rgb="FF98CEF3"/>
      <rgbColor rgb="FFD3AEAD"/>
      <rgbColor rgb="FFCCC8CE"/>
      <rgbColor rgb="FFFCE4D6"/>
      <rgbColor rgb="FF558ED5"/>
      <rgbColor rgb="FF96D0C6"/>
      <rgbColor rgb="FFC5D718"/>
      <rgbColor rgb="FFF1C748"/>
      <rgbColor rgb="FFDB7230"/>
      <rgbColor rgb="FFD77010"/>
      <rgbColor rgb="FF727074"/>
      <rgbColor rgb="FF9A9A9A"/>
      <rgbColor rgb="FF0E2841"/>
      <rgbColor rgb="FF2E7D32"/>
      <rgbColor rgb="FF0E2840"/>
      <rgbColor rgb="FF555555"/>
      <rgbColor rgb="FFC74830"/>
      <rgbColor rgb="FFD94F4F"/>
      <rgbColor rgb="FF2146AA"/>
      <rgbColor rgb="FF39393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6F6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Scenario Range — Cumulative Net Cash Flow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Pessimistic</c:v>
          </c:tx>
          <c:spPr>
            <a:ln w="20160">
              <a:solidFill>
                <a:srgbClr val="D94F4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 Repair_Maintain'!$C$70:$G$70</c:f>
              <c:numCache>
                <c:formatCode>#\ ##0;\(#\ ##0\);\-</c:formatCode>
                <c:ptCount val="5"/>
                <c:pt idx="0">
                  <c:v>-67125</c:v>
                </c:pt>
                <c:pt idx="1">
                  <c:v>-100025</c:v>
                </c:pt>
                <c:pt idx="2">
                  <c:v>-146675</c:v>
                </c:pt>
                <c:pt idx="3">
                  <c:v>-201675</c:v>
                </c:pt>
                <c:pt idx="4">
                  <c:v>-267050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A5E-4BA8-9CCD-5B292194D59A}"/>
            </c:ext>
          </c:extLst>
        </c:ser>
        <c:ser>
          <c:idx val="1"/>
          <c:order val="1"/>
          <c:tx>
            <c:v>Base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 Repair_Maintain'!$C$71:$G$71</c:f>
              <c:numCache>
                <c:formatCode>#\ ##0;\(#\ ##0\);\-</c:formatCode>
                <c:ptCount val="5"/>
                <c:pt idx="0">
                  <c:v>-58000</c:v>
                </c:pt>
                <c:pt idx="1">
                  <c:v>-69000</c:v>
                </c:pt>
                <c:pt idx="2">
                  <c:v>-75500</c:v>
                </c:pt>
                <c:pt idx="3">
                  <c:v>-57500</c:v>
                </c:pt>
                <c:pt idx="4">
                  <c:v>-22500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A5E-4BA8-9CCD-5B292194D59A}"/>
            </c:ext>
          </c:extLst>
        </c:ser>
        <c:ser>
          <c:idx val="2"/>
          <c:order val="2"/>
          <c:tx>
            <c:v>Optimistic</c:v>
          </c:tx>
          <c:spPr>
            <a:ln w="2016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 Repair_Maintain'!$C$72:$G$72</c:f>
              <c:numCache>
                <c:formatCode>#\ ##0;\(#\ ##0\);\-</c:formatCode>
                <c:ptCount val="5"/>
                <c:pt idx="0">
                  <c:v>-48875</c:v>
                </c:pt>
                <c:pt idx="1">
                  <c:v>-37975</c:v>
                </c:pt>
                <c:pt idx="2">
                  <c:v>-4325</c:v>
                </c:pt>
                <c:pt idx="3">
                  <c:v>86675</c:v>
                </c:pt>
                <c:pt idx="4">
                  <c:v>222050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A5E-4BA8-9CCD-5B292194D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5844183"/>
        <c:axId val="57031078"/>
      </c:lineChart>
      <c:catAx>
        <c:axId val="5584418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57031078"/>
        <c:crosses val="autoZero"/>
        <c:auto val="1"/>
        <c:lblAlgn val="ctr"/>
        <c:lblOffset val="100"/>
        <c:noMultiLvlLbl val="0"/>
      </c:catAx>
      <c:valAx>
        <c:axId val="57031078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558441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Scenario Range — Cumulative Net Cash Flow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Pessimistic</c:v>
          </c:tx>
          <c:spPr>
            <a:ln w="20160">
              <a:solidFill>
                <a:srgbClr val="D94F4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'2. Resell'!$C$64:$G$64</c:f>
              <c:numCache>
                <c:formatCode>#\ ##0;\(#\ ##0\);\-</c:formatCode>
                <c:ptCount val="5"/>
                <c:pt idx="0">
                  <c:v>-28494</c:v>
                </c:pt>
                <c:pt idx="1">
                  <c:v>-9738</c:v>
                </c:pt>
                <c:pt idx="2">
                  <c:v>28018</c:v>
                </c:pt>
                <c:pt idx="3">
                  <c:v>94274</c:v>
                </c:pt>
                <c:pt idx="4">
                  <c:v>174780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867-469A-BBD0-0E26EA165E19}"/>
            </c:ext>
          </c:extLst>
        </c:ser>
        <c:ser>
          <c:idx val="1"/>
          <c:order val="1"/>
          <c:tx>
            <c:v>Base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'2. Resell'!$C$65:$G$65</c:f>
              <c:numCache>
                <c:formatCode>#\ ##0;\(#\ ##0\);\-</c:formatCode>
                <c:ptCount val="5"/>
                <c:pt idx="0">
                  <c:v>-19490</c:v>
                </c:pt>
                <c:pt idx="1">
                  <c:v>21770</c:v>
                </c:pt>
                <c:pt idx="2">
                  <c:v>100030</c:v>
                </c:pt>
                <c:pt idx="3">
                  <c:v>233790</c:v>
                </c:pt>
                <c:pt idx="4">
                  <c:v>395300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67-469A-BBD0-0E26EA165E19}"/>
            </c:ext>
          </c:extLst>
        </c:ser>
        <c:ser>
          <c:idx val="2"/>
          <c:order val="2"/>
          <c:tx>
            <c:v>Optimistic</c:v>
          </c:tx>
          <c:spPr>
            <a:ln w="2016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'2. Resell'!$C$66:$G$66</c:f>
              <c:numCache>
                <c:formatCode>#\ ##0;\(#\ ##0\);\-</c:formatCode>
                <c:ptCount val="5"/>
                <c:pt idx="0">
                  <c:v>-10486.000000000004</c:v>
                </c:pt>
                <c:pt idx="1">
                  <c:v>53278</c:v>
                </c:pt>
                <c:pt idx="2">
                  <c:v>172042</c:v>
                </c:pt>
                <c:pt idx="3">
                  <c:v>373306</c:v>
                </c:pt>
                <c:pt idx="4">
                  <c:v>615820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867-469A-BBD0-0E26EA165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9847059"/>
        <c:axId val="79084557"/>
      </c:lineChart>
      <c:catAx>
        <c:axId val="1984705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79084557"/>
        <c:crosses val="autoZero"/>
        <c:auto val="1"/>
        <c:lblAlgn val="ctr"/>
        <c:lblOffset val="100"/>
        <c:noMultiLvlLbl val="0"/>
      </c:catAx>
      <c:valAx>
        <c:axId val="7908455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1984705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Scenario Range — Cumulative Net Cash Flow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Pessimistic</c:v>
          </c:tx>
          <c:spPr>
            <a:ln w="20160">
              <a:solidFill>
                <a:srgbClr val="D94F4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'3. Remanufacture'!$C$69:$G$69</c:f>
              <c:numCache>
                <c:formatCode>#\ ##0;\(#\ ##0\);\-</c:formatCode>
                <c:ptCount val="5"/>
                <c:pt idx="0">
                  <c:v>-76204</c:v>
                </c:pt>
                <c:pt idx="1">
                  <c:v>-81884</c:v>
                </c:pt>
                <c:pt idx="2">
                  <c:v>-88414</c:v>
                </c:pt>
                <c:pt idx="3">
                  <c:v>-96814</c:v>
                </c:pt>
                <c:pt idx="4">
                  <c:v>-106234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4FE-4722-ADC6-AD6CA0E0DEA4}"/>
            </c:ext>
          </c:extLst>
        </c:ser>
        <c:ser>
          <c:idx val="1"/>
          <c:order val="1"/>
          <c:tx>
            <c:v>Base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'3. Remanufacture'!$C$70:$G$70</c:f>
              <c:numCache>
                <c:formatCode>#\ ##0;\(#\ ##0\);\-</c:formatCode>
                <c:ptCount val="5"/>
                <c:pt idx="0">
                  <c:v>-72460</c:v>
                </c:pt>
                <c:pt idx="1">
                  <c:v>-65660</c:v>
                </c:pt>
                <c:pt idx="2">
                  <c:v>-44110</c:v>
                </c:pt>
                <c:pt idx="3">
                  <c:v>9890</c:v>
                </c:pt>
                <c:pt idx="4">
                  <c:v>81590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4FE-4722-ADC6-AD6CA0E0DEA4}"/>
            </c:ext>
          </c:extLst>
        </c:ser>
        <c:ser>
          <c:idx val="2"/>
          <c:order val="2"/>
          <c:tx>
            <c:v>Optimistic</c:v>
          </c:tx>
          <c:spPr>
            <a:ln w="2016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'3. Remanufacture'!$C$71:$G$71</c:f>
              <c:numCache>
                <c:formatCode>#\ ##0;\(#\ ##0\);\-</c:formatCode>
                <c:ptCount val="5"/>
                <c:pt idx="0">
                  <c:v>-68716</c:v>
                </c:pt>
                <c:pt idx="1">
                  <c:v>-49436</c:v>
                </c:pt>
                <c:pt idx="2">
                  <c:v>194</c:v>
                </c:pt>
                <c:pt idx="3">
                  <c:v>116594</c:v>
                </c:pt>
                <c:pt idx="4">
                  <c:v>269414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4FE-4722-ADC6-AD6CA0E0D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9880842"/>
        <c:axId val="8255273"/>
      </c:lineChart>
      <c:catAx>
        <c:axId val="9988084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8255273"/>
        <c:crosses val="autoZero"/>
        <c:auto val="1"/>
        <c:lblAlgn val="ctr"/>
        <c:lblOffset val="100"/>
        <c:noMultiLvlLbl val="0"/>
      </c:catAx>
      <c:valAx>
        <c:axId val="825527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9988084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Scenario Range — Cumulative Net Cash Flow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Pessimistic</c:v>
          </c:tx>
          <c:spPr>
            <a:ln w="20160">
              <a:solidFill>
                <a:srgbClr val="D94F4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 FaaS_Subscription'!$C$77:$G$77</c:f>
              <c:numCache>
                <c:formatCode>#\ ##0;\(#\ ##0\);\-</c:formatCode>
                <c:ptCount val="5"/>
                <c:pt idx="0">
                  <c:v>-247880</c:v>
                </c:pt>
                <c:pt idx="1">
                  <c:v>-330260</c:v>
                </c:pt>
                <c:pt idx="2">
                  <c:v>-497460</c:v>
                </c:pt>
                <c:pt idx="3">
                  <c:v>-832760</c:v>
                </c:pt>
                <c:pt idx="4">
                  <c:v>-1029460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87F-46D2-A55F-BC353769DA30}"/>
            </c:ext>
          </c:extLst>
        </c:ser>
        <c:ser>
          <c:idx val="1"/>
          <c:order val="1"/>
          <c:tx>
            <c:v>Base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 FaaS_Subscription'!$C$78:$G$78</c:f>
              <c:numCache>
                <c:formatCode>#\ ##0;\(#\ ##0\);\-</c:formatCode>
                <c:ptCount val="5"/>
                <c:pt idx="0">
                  <c:v>-224200</c:v>
                </c:pt>
                <c:pt idx="1">
                  <c:v>-264100</c:v>
                </c:pt>
                <c:pt idx="2">
                  <c:v>-348900</c:v>
                </c:pt>
                <c:pt idx="3">
                  <c:v>-517400</c:v>
                </c:pt>
                <c:pt idx="4">
                  <c:v>-511700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87F-46D2-A55F-BC353769DA30}"/>
            </c:ext>
          </c:extLst>
        </c:ser>
        <c:ser>
          <c:idx val="2"/>
          <c:order val="2"/>
          <c:tx>
            <c:v>Optimistic</c:v>
          </c:tx>
          <c:spPr>
            <a:ln w="2016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 FaaS_Subscription'!$C$79:$G$79</c:f>
              <c:numCache>
                <c:formatCode>#\ ##0;\(#\ ##0\);\-</c:formatCode>
                <c:ptCount val="5"/>
                <c:pt idx="0">
                  <c:v>-200520</c:v>
                </c:pt>
                <c:pt idx="1">
                  <c:v>-197940</c:v>
                </c:pt>
                <c:pt idx="2">
                  <c:v>-200340</c:v>
                </c:pt>
                <c:pt idx="3">
                  <c:v>-202040</c:v>
                </c:pt>
                <c:pt idx="4">
                  <c:v>6060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87F-46D2-A55F-BC353769D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92995"/>
        <c:axId val="22357267"/>
      </c:lineChart>
      <c:catAx>
        <c:axId val="29299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22357267"/>
        <c:crosses val="autoZero"/>
        <c:auto val="1"/>
        <c:lblAlgn val="ctr"/>
        <c:lblOffset val="100"/>
        <c:noMultiLvlLbl val="0"/>
      </c:catAx>
      <c:valAx>
        <c:axId val="2235726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2929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400" b="0" strike="noStrike" spc="9">
                <a:solidFill>
                  <a:srgbClr val="808080"/>
                </a:solidFill>
                <a:latin typeface="Calibri"/>
              </a:defRPr>
            </a:pPr>
            <a:r>
              <a:rPr lang="fi-FI" sz="1400" b="0" strike="noStrike" spc="9">
                <a:solidFill>
                  <a:srgbClr val="808080"/>
                </a:solidFill>
                <a:latin typeface="Calibri"/>
              </a:rPr>
              <a:t>Year 5 financial comparison</a:t>
            </a:r>
          </a:p>
        </c:rich>
      </c:tx>
      <c:layout>
        <c:manualLayout>
          <c:xMode val="edge"/>
          <c:yMode val="edge"/>
          <c:x val="0.34428327645051199"/>
          <c:y val="2.7652652652652699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'Value Case Summary'!$B$42</c:f>
              <c:strCache>
                <c:ptCount val="1"/>
                <c:pt idx="0">
                  <c:v>Revenue Y5 (€)</c:v>
                </c:pt>
              </c:strCache>
            </c:strRef>
          </c:tx>
          <c:spPr>
            <a:gradFill>
              <a:gsLst>
                <a:gs pos="0">
                  <a:srgbClr val="C2CCE1"/>
                </a:gs>
                <a:gs pos="35000">
                  <a:srgbClr val="D4DBE9"/>
                </a:gs>
                <a:gs pos="100000">
                  <a:srgbClr val="EEF1F6"/>
                </a:gs>
              </a:gsLst>
              <a:lin ang="16200000"/>
            </a:gradFill>
            <a:ln w="9360">
              <a:solidFill>
                <a:srgbClr val="4D7EB8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Summary'!$A$43:$A$47</c:f>
              <c:strCache>
                <c:ptCount val="5"/>
                <c:pt idx="0">
                  <c:v>Current Linear Baseline</c:v>
                </c:pt>
                <c:pt idx="1">
                  <c:v>Module A — Repair &amp; Maintenance</c:v>
                </c:pt>
                <c:pt idx="2">
                  <c:v>Module B-A — Resell (Grade A)</c:v>
                </c:pt>
                <c:pt idx="3">
                  <c:v>Module B-B — Remanufacture (Grade B)</c:v>
                </c:pt>
                <c:pt idx="4">
                  <c:v>Module C — FaaS Subscription</c:v>
                </c:pt>
              </c:strCache>
            </c:strRef>
          </c:cat>
          <c:val>
            <c:numRef>
              <c:f>'Value Case Summary'!$B$43:$B$47</c:f>
              <c:numCache>
                <c:formatCode>#\ ##0;\(#\ ##0\);\-</c:formatCode>
                <c:ptCount val="5"/>
                <c:pt idx="0">
                  <c:v>12870000</c:v>
                </c:pt>
                <c:pt idx="2">
                  <c:v>202510</c:v>
                </c:pt>
                <c:pt idx="4">
                  <c:v>506000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5-46AA-898F-21283B20BE0D}"/>
            </c:ext>
          </c:extLst>
        </c:ser>
        <c:ser>
          <c:idx val="1"/>
          <c:order val="1"/>
          <c:tx>
            <c:strRef>
              <c:f>'Value Case Summary'!$C$42</c:f>
              <c:strCache>
                <c:ptCount val="1"/>
                <c:pt idx="0">
                  <c:v>Op. Cost Y5 (€)</c:v>
                </c:pt>
              </c:strCache>
            </c:strRef>
          </c:tx>
          <c:spPr>
            <a:gradFill>
              <a:gsLst>
                <a:gs pos="0">
                  <a:srgbClr val="E2C2C1"/>
                </a:gs>
                <a:gs pos="35000">
                  <a:srgbClr val="EAD4D3"/>
                </a:gs>
                <a:gs pos="100000">
                  <a:srgbClr val="F6EEEE"/>
                </a:gs>
              </a:gsLst>
              <a:lin ang="16200000"/>
            </a:gradFill>
            <a:ln w="9360">
              <a:solidFill>
                <a:srgbClr val="BB4E4B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Summary'!$A$43:$A$47</c:f>
              <c:strCache>
                <c:ptCount val="5"/>
                <c:pt idx="0">
                  <c:v>Current Linear Baseline</c:v>
                </c:pt>
                <c:pt idx="1">
                  <c:v>Module A — Repair &amp; Maintenance</c:v>
                </c:pt>
                <c:pt idx="2">
                  <c:v>Module B-A — Resell (Grade A)</c:v>
                </c:pt>
                <c:pt idx="3">
                  <c:v>Module B-B — Remanufacture (Grade B)</c:v>
                </c:pt>
                <c:pt idx="4">
                  <c:v>Module C — FaaS Subscription</c:v>
                </c:pt>
              </c:strCache>
            </c:strRef>
          </c:cat>
          <c:val>
            <c:numRef>
              <c:f>'Value Case Summary'!$C$43:$C$47</c:f>
              <c:numCache>
                <c:formatCode>#\ ##0;\(#\ ##0\);\-</c:formatCode>
                <c:ptCount val="5"/>
                <c:pt idx="0">
                  <c:v>8902000</c:v>
                </c:pt>
                <c:pt idx="1">
                  <c:v>366500</c:v>
                </c:pt>
                <c:pt idx="2">
                  <c:v>41000</c:v>
                </c:pt>
                <c:pt idx="3">
                  <c:v>131100</c:v>
                </c:pt>
                <c:pt idx="4">
                  <c:v>208300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E5-46AA-898F-21283B20BE0D}"/>
            </c:ext>
          </c:extLst>
        </c:ser>
        <c:ser>
          <c:idx val="2"/>
          <c:order val="2"/>
          <c:tx>
            <c:strRef>
              <c:f>'Value Case Summary'!$D$42</c:f>
              <c:strCache>
                <c:ptCount val="1"/>
                <c:pt idx="0">
                  <c:v>EBITDA Y5 (€)</c:v>
                </c:pt>
              </c:strCache>
            </c:strRef>
          </c:tx>
          <c:spPr>
            <a:gradFill>
              <a:gsLst>
                <a:gs pos="0">
                  <a:srgbClr val="D4E0C3"/>
                </a:gs>
                <a:gs pos="35000">
                  <a:srgbClr val="E0E8D5"/>
                </a:gs>
                <a:gs pos="100000">
                  <a:srgbClr val="F3F6EF"/>
                </a:gs>
              </a:gsLst>
              <a:lin ang="16200000"/>
            </a:gradFill>
            <a:ln w="9360">
              <a:solidFill>
                <a:srgbClr val="97B657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Summary'!$A$43:$A$47</c:f>
              <c:strCache>
                <c:ptCount val="5"/>
                <c:pt idx="0">
                  <c:v>Current Linear Baseline</c:v>
                </c:pt>
                <c:pt idx="1">
                  <c:v>Module A — Repair &amp; Maintenance</c:v>
                </c:pt>
                <c:pt idx="2">
                  <c:v>Module B-A — Resell (Grade A)</c:v>
                </c:pt>
                <c:pt idx="3">
                  <c:v>Module B-B — Remanufacture (Grade B)</c:v>
                </c:pt>
                <c:pt idx="4">
                  <c:v>Module C — FaaS Subscription</c:v>
                </c:pt>
              </c:strCache>
            </c:strRef>
          </c:cat>
          <c:val>
            <c:numRef>
              <c:f>'Value Case Summary'!$D$43:$D$47</c:f>
              <c:numCache>
                <c:formatCode>#\ ##0;\(#\ ##0\);\-</c:formatCode>
                <c:ptCount val="5"/>
                <c:pt idx="0">
                  <c:v>3968000</c:v>
                </c:pt>
                <c:pt idx="1">
                  <c:v>35000</c:v>
                </c:pt>
                <c:pt idx="2">
                  <c:v>161510</c:v>
                </c:pt>
                <c:pt idx="3">
                  <c:v>71700</c:v>
                </c:pt>
                <c:pt idx="4">
                  <c:v>297700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E5-46AA-898F-21283B20BE0D}"/>
            </c:ext>
          </c:extLst>
        </c:ser>
        <c:ser>
          <c:idx val="3"/>
          <c:order val="3"/>
          <c:tx>
            <c:strRef>
              <c:f>'Value Case Summary'!$E$42</c:f>
              <c:strCache>
                <c:ptCount val="1"/>
                <c:pt idx="0">
                  <c:v>Investment Y5 (€)</c:v>
                </c:pt>
              </c:strCache>
            </c:strRef>
          </c:tx>
          <c:spPr>
            <a:gradFill>
              <a:gsLst>
                <a:gs pos="0">
                  <a:srgbClr val="CCC5D7"/>
                </a:gs>
                <a:gs pos="35000">
                  <a:srgbClr val="DBD6E2"/>
                </a:gs>
                <a:gs pos="100000">
                  <a:srgbClr val="F1EFF3"/>
                </a:gs>
              </a:gsLst>
              <a:lin ang="16200000"/>
            </a:gradFill>
            <a:ln w="9360">
              <a:solidFill>
                <a:srgbClr val="7D619E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Summary'!$A$43:$A$47</c:f>
              <c:strCache>
                <c:ptCount val="5"/>
                <c:pt idx="0">
                  <c:v>Current Linear Baseline</c:v>
                </c:pt>
                <c:pt idx="1">
                  <c:v>Module A — Repair &amp; Maintenance</c:v>
                </c:pt>
                <c:pt idx="2">
                  <c:v>Module B-A — Resell (Grade A)</c:v>
                </c:pt>
                <c:pt idx="3">
                  <c:v>Module B-B — Remanufacture (Grade B)</c:v>
                </c:pt>
                <c:pt idx="4">
                  <c:v>Module C — FaaS Subscription</c:v>
                </c:pt>
              </c:strCache>
            </c:strRef>
          </c:cat>
          <c:val>
            <c:numRef>
              <c:f>'Value Case Summary'!$E$43:$E$47</c:f>
              <c:numCache>
                <c:formatCode>#\ ##0;\(#\ ##0\);\-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E5-46AA-898F-21283B20BE0D}"/>
            </c:ext>
          </c:extLst>
        </c:ser>
        <c:ser>
          <c:idx val="4"/>
          <c:order val="4"/>
          <c:tx>
            <c:strRef>
              <c:f>'Value Case Summary'!$F$42</c:f>
              <c:strCache>
                <c:ptCount val="1"/>
                <c:pt idx="0">
                  <c:v>Net CF Y5 (€)</c:v>
                </c:pt>
              </c:strCache>
            </c:strRef>
          </c:tx>
          <c:spPr>
            <a:gradFill>
              <a:gsLst>
                <a:gs pos="0">
                  <a:srgbClr val="C1DAE4"/>
                </a:gs>
                <a:gs pos="35000">
                  <a:srgbClr val="D3E4EB"/>
                </a:gs>
                <a:gs pos="100000">
                  <a:srgbClr val="EEF4F7"/>
                </a:gs>
              </a:gsLst>
              <a:lin ang="16200000"/>
            </a:gradFill>
            <a:ln w="9360">
              <a:solidFill>
                <a:srgbClr val="49A8C1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Summary'!$A$43:$A$47</c:f>
              <c:strCache>
                <c:ptCount val="5"/>
                <c:pt idx="0">
                  <c:v>Current Linear Baseline</c:v>
                </c:pt>
                <c:pt idx="1">
                  <c:v>Module A — Repair &amp; Maintenance</c:v>
                </c:pt>
                <c:pt idx="2">
                  <c:v>Module B-A — Resell (Grade A)</c:v>
                </c:pt>
                <c:pt idx="3">
                  <c:v>Module B-B — Remanufacture (Grade B)</c:v>
                </c:pt>
                <c:pt idx="4">
                  <c:v>Module C — FaaS Subscription</c:v>
                </c:pt>
              </c:strCache>
            </c:strRef>
          </c:cat>
          <c:val>
            <c:numRef>
              <c:f>'Value Case Summary'!$F$43:$F$47</c:f>
              <c:numCache>
                <c:formatCode>#\ ##0;\(#\ ##0\);\-</c:formatCode>
                <c:ptCount val="5"/>
                <c:pt idx="0">
                  <c:v>3968000</c:v>
                </c:pt>
                <c:pt idx="1">
                  <c:v>35000</c:v>
                </c:pt>
                <c:pt idx="2">
                  <c:v>161510</c:v>
                </c:pt>
                <c:pt idx="3">
                  <c:v>71700</c:v>
                </c:pt>
                <c:pt idx="4">
                  <c:v>5700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E5-46AA-898F-21283B20B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154384"/>
        <c:axId val="84228448"/>
      </c:barChart>
      <c:catAx>
        <c:axId val="371543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r>
                  <a:rPr lang="fi-FI" sz="900" b="0" strike="noStrike" spc="-1">
                    <a:solidFill>
                      <a:srgbClr val="808080"/>
                    </a:solidFill>
                    <a:latin typeface="Calibri"/>
                  </a:rPr>
                  <a:t>Business model</a:t>
                </a:r>
              </a:p>
            </c:rich>
          </c:tx>
          <c:layout>
            <c:manualLayout>
              <c:xMode val="edge"/>
              <c:yMode val="edge"/>
              <c:x val="0.44301560214529501"/>
              <c:y val="0.84784784784784795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808080"/>
                </a:solidFill>
                <a:latin typeface="Calibri"/>
              </a:defRPr>
            </a:pPr>
            <a:endParaRPr lang="fi-FI"/>
          </a:p>
        </c:txPr>
        <c:crossAx val="84228448"/>
        <c:crosses val="autoZero"/>
        <c:auto val="1"/>
        <c:lblAlgn val="ctr"/>
        <c:lblOffset val="100"/>
        <c:noMultiLvlLbl val="0"/>
      </c:catAx>
      <c:valAx>
        <c:axId val="8422844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900" b="0" strike="noStrike" spc="-1">
                    <a:solidFill>
                      <a:srgbClr val="808080"/>
                    </a:solidFill>
                    <a:latin typeface="Calibri"/>
                  </a:defRPr>
                </a:pPr>
                <a:r>
                  <a:rPr lang="fi-FI" sz="900" b="0" strike="noStrike" spc="-1">
                    <a:solidFill>
                      <a:srgbClr val="808080"/>
                    </a:solidFill>
                    <a:latin typeface="Calibri"/>
                  </a:rPr>
                  <a:t>EUR</a:t>
                </a:r>
              </a:p>
            </c:rich>
          </c:tx>
          <c:layout>
            <c:manualLayout>
              <c:xMode val="edge"/>
              <c:yMode val="edge"/>
              <c:x val="0"/>
              <c:y val="0.46509009009009"/>
            </c:manualLayout>
          </c:layout>
          <c:overlay val="0"/>
          <c:spPr>
            <a:noFill/>
            <a:ln w="0">
              <a:noFill/>
            </a:ln>
          </c:spPr>
        </c:title>
        <c:numFmt formatCode="#\ ##0.00&quot; EUR&quot;;[Red]\(#\ ##0.00&quot; EUR)&quot;;\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808080"/>
                </a:solidFill>
                <a:latin typeface="Calibri"/>
              </a:defRPr>
            </a:pPr>
            <a:endParaRPr lang="fi-FI"/>
          </a:p>
        </c:txPr>
        <c:crossAx val="3715438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80808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600" b="1" strike="noStrike" spc="-1">
                <a:solidFill>
                  <a:srgbClr val="1F497D"/>
                </a:solidFill>
                <a:latin typeface="Calibri"/>
              </a:defRPr>
            </a:pPr>
            <a:r>
              <a:rPr lang="fi-FI" sz="1600" b="1" strike="noStrike" spc="-1">
                <a:solidFill>
                  <a:srgbClr val="1F497D"/>
                </a:solidFill>
                <a:latin typeface="Calibri"/>
              </a:rPr>
              <a:t>Cumulative net cash flow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734317343173E-2"/>
          <c:y val="2.6484408372490401E-2"/>
          <c:w val="0.95640484976278295"/>
          <c:h val="0.901964972234088"/>
        </c:manualLayout>
      </c:layout>
      <c:lineChart>
        <c:grouping val="standard"/>
        <c:varyColors val="0"/>
        <c:ser>
          <c:idx val="0"/>
          <c:order val="0"/>
          <c:tx>
            <c:v>Current Linear </c:v>
          </c:tx>
          <c:spPr>
            <a:ln w="31680" cap="rnd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1F497D"/>
                    </a:solidFill>
                    <a:latin typeface="Calibri"/>
                  </a:defRPr>
                </a:pPr>
                <a:endParaRPr lang="fi-FI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Summary'!$B$52:$F$52</c:f>
              <c:strCache>
                <c:ptCount val="5"/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strCache>
            </c:strRef>
          </c:cat>
          <c:val>
            <c:numRef>
              <c:f>'Value Case Summary'!$B$53:$F$53</c:f>
              <c:numCache>
                <c:formatCode>#\ ##0;\(#\ ##0\);\-</c:formatCode>
                <c:ptCount val="5"/>
                <c:pt idx="1">
                  <c:v>4452000</c:v>
                </c:pt>
                <c:pt idx="2">
                  <c:v>8783000</c:v>
                </c:pt>
                <c:pt idx="3">
                  <c:v>12993000</c:v>
                </c:pt>
                <c:pt idx="4">
                  <c:v>17082000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CF8-474A-AB5F-2743751F283D}"/>
            </c:ext>
          </c:extLst>
        </c:ser>
        <c:ser>
          <c:idx val="1"/>
          <c:order val="1"/>
          <c:tx>
            <c:v>Repar &amp; Maintain</c:v>
          </c:tx>
          <c:spPr>
            <a:ln w="31680" cap="rnd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1F497D"/>
                    </a:solidFill>
                    <a:latin typeface="Calibri"/>
                  </a:defRPr>
                </a:pPr>
                <a:endParaRPr lang="fi-FI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Summary'!$B$52:$F$52</c:f>
              <c:strCache>
                <c:ptCount val="5"/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strCache>
            </c:strRef>
          </c:cat>
          <c:val>
            <c:numRef>
              <c:f>'Value Case Summary'!$B$54:$F$54</c:f>
              <c:numCache>
                <c:formatCode>#\ ##0;\(#\ ##0\);\-</c:formatCode>
                <c:ptCount val="5"/>
                <c:pt idx="1">
                  <c:v>-58000</c:v>
                </c:pt>
                <c:pt idx="2">
                  <c:v>-69000</c:v>
                </c:pt>
                <c:pt idx="3">
                  <c:v>-75500</c:v>
                </c:pt>
                <c:pt idx="4">
                  <c:v>-57500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CF8-474A-AB5F-2743751F283D}"/>
            </c:ext>
          </c:extLst>
        </c:ser>
        <c:ser>
          <c:idx val="2"/>
          <c:order val="2"/>
          <c:tx>
            <c:v>Resell</c:v>
          </c:tx>
          <c:spPr>
            <a:ln w="31680" cap="rnd">
              <a:solidFill>
                <a:srgbClr val="9BBB5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1F497D"/>
                    </a:solidFill>
                    <a:latin typeface="Calibri"/>
                  </a:defRPr>
                </a:pPr>
                <a:endParaRPr lang="fi-FI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Summary'!$B$52:$F$52</c:f>
              <c:strCache>
                <c:ptCount val="5"/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strCache>
            </c:strRef>
          </c:cat>
          <c:val>
            <c:numRef>
              <c:f>'Value Case Summary'!$B$55:$F$55</c:f>
              <c:numCache>
                <c:formatCode>#\ ##0;\(#\ ##0\);\-</c:formatCode>
                <c:ptCount val="5"/>
                <c:pt idx="1">
                  <c:v>-19490</c:v>
                </c:pt>
                <c:pt idx="2">
                  <c:v>21770</c:v>
                </c:pt>
                <c:pt idx="3">
                  <c:v>100030</c:v>
                </c:pt>
                <c:pt idx="4">
                  <c:v>233790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CF8-474A-AB5F-2743751F283D}"/>
            </c:ext>
          </c:extLst>
        </c:ser>
        <c:ser>
          <c:idx val="3"/>
          <c:order val="3"/>
          <c:tx>
            <c:v>Remanufacture</c:v>
          </c:tx>
          <c:spPr>
            <a:ln w="31680" cap="rnd">
              <a:solidFill>
                <a:srgbClr val="8064A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1F497D"/>
                    </a:solidFill>
                    <a:latin typeface="Calibri"/>
                  </a:defRPr>
                </a:pPr>
                <a:endParaRPr lang="fi-FI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Summary'!$B$52:$F$52</c:f>
              <c:strCache>
                <c:ptCount val="5"/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strCache>
            </c:strRef>
          </c:cat>
          <c:val>
            <c:numRef>
              <c:f>'Value Case Summary'!$B$56:$F$56</c:f>
              <c:numCache>
                <c:formatCode>#\ ##0;\(#\ ##0\);\-</c:formatCode>
                <c:ptCount val="5"/>
                <c:pt idx="1">
                  <c:v>-72460</c:v>
                </c:pt>
                <c:pt idx="2">
                  <c:v>-65660</c:v>
                </c:pt>
                <c:pt idx="3">
                  <c:v>-44110</c:v>
                </c:pt>
                <c:pt idx="4">
                  <c:v>9890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CF8-474A-AB5F-2743751F283D}"/>
            </c:ext>
          </c:extLst>
        </c:ser>
        <c:ser>
          <c:idx val="4"/>
          <c:order val="4"/>
          <c:tx>
            <c:v>FaaS </c:v>
          </c:tx>
          <c:spPr>
            <a:ln w="31680" cap="rnd">
              <a:solidFill>
                <a:srgbClr val="4BAC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1F497D"/>
                    </a:solidFill>
                    <a:latin typeface="Calibri"/>
                  </a:defRPr>
                </a:pPr>
                <a:endParaRPr lang="fi-FI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Summary'!$B$52:$F$52</c:f>
              <c:strCache>
                <c:ptCount val="5"/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strCache>
            </c:strRef>
          </c:cat>
          <c:val>
            <c:numRef>
              <c:f>'Value Case Summary'!$B$57:$F$57</c:f>
              <c:numCache>
                <c:formatCode>#\ ##0;\(#\ ##0\);\-</c:formatCode>
                <c:ptCount val="5"/>
                <c:pt idx="1">
                  <c:v>-224200</c:v>
                </c:pt>
                <c:pt idx="2">
                  <c:v>-264100</c:v>
                </c:pt>
                <c:pt idx="3">
                  <c:v>-348900</c:v>
                </c:pt>
                <c:pt idx="4">
                  <c:v>-517400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CF8-474A-AB5F-2743751F2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84792882"/>
        <c:axId val="77568670"/>
      </c:lineChart>
      <c:catAx>
        <c:axId val="8479288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900" b="1" strike="noStrike" spc="-1">
                    <a:solidFill>
                      <a:srgbClr val="1F497D"/>
                    </a:solidFill>
                    <a:latin typeface="Calibri"/>
                  </a:defRPr>
                </a:pPr>
                <a:r>
                  <a:rPr lang="fi-FI" sz="900" b="1" strike="noStrike" spc="-1">
                    <a:solidFill>
                      <a:srgbClr val="1F497D"/>
                    </a:solidFill>
                    <a:latin typeface="Calibri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58355297838693"/>
              <c:y val="0.931973515591628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D4E3F4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1F497D"/>
                </a:solidFill>
                <a:latin typeface="Calibri"/>
              </a:defRPr>
            </a:pPr>
            <a:endParaRPr lang="fi-FI"/>
          </a:p>
        </c:txPr>
        <c:crossAx val="77568670"/>
        <c:crosses val="autoZero"/>
        <c:auto val="1"/>
        <c:lblAlgn val="ctr"/>
        <c:lblOffset val="100"/>
        <c:noMultiLvlLbl val="0"/>
      </c:catAx>
      <c:valAx>
        <c:axId val="77568670"/>
        <c:scaling>
          <c:orientation val="minMax"/>
        </c:scaling>
        <c:delete val="0"/>
        <c:axPos val="l"/>
        <c:majorGridlines>
          <c:spPr>
            <a:ln w="9360">
              <a:solidFill>
                <a:srgbClr val="D4E3F4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900" b="1" strike="noStrike" spc="-1">
                    <a:solidFill>
                      <a:srgbClr val="1F497D"/>
                    </a:solidFill>
                    <a:latin typeface="Calibri"/>
                  </a:defRPr>
                </a:pPr>
                <a:r>
                  <a:rPr lang="fi-FI" sz="900" b="1" strike="noStrike" spc="-1">
                    <a:solidFill>
                      <a:srgbClr val="1F497D"/>
                    </a:solidFill>
                    <a:latin typeface="Calibri"/>
                  </a:rPr>
                  <a:t>EUR</a:t>
                </a:r>
              </a:p>
            </c:rich>
          </c:tx>
          <c:layout>
            <c:manualLayout>
              <c:xMode val="edge"/>
              <c:yMode val="edge"/>
              <c:x val="1.7237743806009499E-2"/>
              <c:y val="0.54859034600598"/>
            </c:manualLayout>
          </c:layout>
          <c:overlay val="0"/>
          <c:spPr>
            <a:noFill/>
            <a:ln w="0">
              <a:noFill/>
            </a:ln>
          </c:spPr>
        </c:title>
        <c:numFmt formatCode="#\ ##0.00&quot; EUR&quot;;[Red]\(#\ ##0.00&quot; EUR)&quot;;\-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1F497D"/>
                </a:solidFill>
                <a:latin typeface="Calibri"/>
              </a:defRPr>
            </a:pPr>
            <a:endParaRPr lang="fi-FI"/>
          </a:p>
        </c:txPr>
        <c:crossAx val="8479288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1F497D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4E3F4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Cumulative Net Cash Flow by Model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Current Linear BM</c:v>
          </c:tx>
          <c:spPr>
            <a:ln w="28080">
              <a:solidFill>
                <a:srgbClr val="9E9E9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Summary'!$B$53:$F$53</c:f>
              <c:numCache>
                <c:formatCode>#\ ##0;\(#\ ##0\);\-</c:formatCode>
                <c:ptCount val="5"/>
                <c:pt idx="1">
                  <c:v>4452000</c:v>
                </c:pt>
                <c:pt idx="2">
                  <c:v>8783000</c:v>
                </c:pt>
                <c:pt idx="3">
                  <c:v>12993000</c:v>
                </c:pt>
                <c:pt idx="4">
                  <c:v>17082000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77C-49CD-A456-6D427D025DD5}"/>
            </c:ext>
          </c:extLst>
        </c:ser>
        <c:ser>
          <c:idx val="1"/>
          <c:order val="1"/>
          <c:tx>
            <c:v>Repair &amp; Maintenance</c:v>
          </c:tx>
          <c:spPr>
            <a:ln w="28080">
              <a:solidFill>
                <a:srgbClr val="96D0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Summary'!$B$54:$F$54</c:f>
              <c:numCache>
                <c:formatCode>#\ ##0;\(#\ ##0\);\-</c:formatCode>
                <c:ptCount val="5"/>
                <c:pt idx="1">
                  <c:v>-58000</c:v>
                </c:pt>
                <c:pt idx="2">
                  <c:v>-69000</c:v>
                </c:pt>
                <c:pt idx="3">
                  <c:v>-75500</c:v>
                </c:pt>
                <c:pt idx="4">
                  <c:v>-57500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77C-49CD-A456-6D427D025DD5}"/>
            </c:ext>
          </c:extLst>
        </c:ser>
        <c:ser>
          <c:idx val="2"/>
          <c:order val="2"/>
          <c:tx>
            <c:v>Resell</c:v>
          </c:tx>
          <c:spPr>
            <a:ln w="28080">
              <a:solidFill>
                <a:srgbClr val="D8DB7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Summary'!$B$55:$F$55</c:f>
              <c:numCache>
                <c:formatCode>#\ ##0;\(#\ ##0\);\-</c:formatCode>
                <c:ptCount val="5"/>
                <c:pt idx="1">
                  <c:v>-19490</c:v>
                </c:pt>
                <c:pt idx="2">
                  <c:v>21770</c:v>
                </c:pt>
                <c:pt idx="3">
                  <c:v>100030</c:v>
                </c:pt>
                <c:pt idx="4">
                  <c:v>233790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77C-49CD-A456-6D427D025DD5}"/>
            </c:ext>
          </c:extLst>
        </c:ser>
        <c:ser>
          <c:idx val="3"/>
          <c:order val="3"/>
          <c:tx>
            <c:v>Remanufacture</c:v>
          </c:tx>
          <c:spPr>
            <a:ln w="28080">
              <a:solidFill>
                <a:srgbClr val="D3AEA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Summary'!$B$56:$F$56</c:f>
              <c:numCache>
                <c:formatCode>#\ ##0;\(#\ ##0\);\-</c:formatCode>
                <c:ptCount val="5"/>
                <c:pt idx="1">
                  <c:v>-72460</c:v>
                </c:pt>
                <c:pt idx="2">
                  <c:v>-65660</c:v>
                </c:pt>
                <c:pt idx="3">
                  <c:v>-44110</c:v>
                </c:pt>
                <c:pt idx="4">
                  <c:v>9890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77C-49CD-A456-6D427D025DD5}"/>
            </c:ext>
          </c:extLst>
        </c:ser>
        <c:ser>
          <c:idx val="4"/>
          <c:order val="4"/>
          <c:tx>
            <c:v>PaaS Subscription</c:v>
          </c:tx>
          <c:spPr>
            <a:ln w="28080">
              <a:solidFill>
                <a:srgbClr val="F1C7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Summary'!$B$57:$F$57</c:f>
              <c:numCache>
                <c:formatCode>#\ ##0;\(#\ ##0\);\-</c:formatCode>
                <c:ptCount val="5"/>
                <c:pt idx="1">
                  <c:v>-224200</c:v>
                </c:pt>
                <c:pt idx="2">
                  <c:v>-264100</c:v>
                </c:pt>
                <c:pt idx="3">
                  <c:v>-348900</c:v>
                </c:pt>
                <c:pt idx="4">
                  <c:v>-517400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77C-49CD-A456-6D427D025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3013805"/>
        <c:axId val="39047560"/>
      </c:lineChart>
      <c:catAx>
        <c:axId val="5301380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39047560"/>
        <c:crosses val="autoZero"/>
        <c:auto val="1"/>
        <c:lblAlgn val="ctr"/>
        <c:lblOffset val="100"/>
        <c:noMultiLvlLbl val="0"/>
      </c:catAx>
      <c:valAx>
        <c:axId val="390475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5301380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Annual Revenue by Model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Current Linear BM</c:v>
          </c:tx>
          <c:spPr>
            <a:ln w="28080">
              <a:solidFill>
                <a:srgbClr val="9E9E9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Summary'!$B$63:$F$63</c:f>
              <c:numCache>
                <c:formatCode>#\ ##0.00" EUR";[Red]\(#\ ##0.00" EUR)";\-</c:formatCode>
                <c:ptCount val="5"/>
                <c:pt idx="0">
                  <c:v>14430000</c:v>
                </c:pt>
                <c:pt idx="1">
                  <c:v>14040000</c:v>
                </c:pt>
                <c:pt idx="2">
                  <c:v>13650000</c:v>
                </c:pt>
                <c:pt idx="3">
                  <c:v>13260000</c:v>
                </c:pt>
                <c:pt idx="4">
                  <c:v>12870000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533-4030-A289-A0C5C6187B18}"/>
            </c:ext>
          </c:extLst>
        </c:ser>
        <c:ser>
          <c:idx val="1"/>
          <c:order val="1"/>
          <c:tx>
            <c:v>Repair &amp; Maintenance</c:v>
          </c:tx>
          <c:spPr>
            <a:ln w="28080">
              <a:solidFill>
                <a:srgbClr val="96D0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Summary'!$B$64:$F$64</c:f>
              <c:numCache>
                <c:formatCode>\€#\ ##0;[Red]"(€"#\ ##0\);\-</c:formatCode>
                <c:ptCount val="5"/>
                <c:pt idx="0">
                  <c:v>36500</c:v>
                </c:pt>
                <c:pt idx="1">
                  <c:v>87600</c:v>
                </c:pt>
                <c:pt idx="2">
                  <c:v>160600</c:v>
                </c:pt>
                <c:pt idx="3">
                  <c:v>292000</c:v>
                </c:pt>
                <c:pt idx="4">
                  <c:v>401500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533-4030-A289-A0C5C6187B18}"/>
            </c:ext>
          </c:extLst>
        </c:ser>
        <c:ser>
          <c:idx val="2"/>
          <c:order val="2"/>
          <c:tx>
            <c:v>Resell</c:v>
          </c:tx>
          <c:spPr>
            <a:ln w="28080">
              <a:solidFill>
                <a:srgbClr val="D8DB7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Summary'!$B$65:$F$65</c:f>
              <c:numCache>
                <c:formatCode>\€#\ ##0;[Red]"(€"#\ ##0\);\-</c:formatCode>
                <c:ptCount val="5"/>
                <c:pt idx="0">
                  <c:v>22510</c:v>
                </c:pt>
                <c:pt idx="1">
                  <c:v>56260</c:v>
                </c:pt>
                <c:pt idx="2">
                  <c:v>101260</c:v>
                </c:pt>
                <c:pt idx="3">
                  <c:v>168760</c:v>
                </c:pt>
                <c:pt idx="4">
                  <c:v>202510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533-4030-A289-A0C5C6187B18}"/>
            </c:ext>
          </c:extLst>
        </c:ser>
        <c:ser>
          <c:idx val="3"/>
          <c:order val="3"/>
          <c:tx>
            <c:v>Remanufacture</c:v>
          </c:tx>
          <c:spPr>
            <a:ln w="28080">
              <a:solidFill>
                <a:srgbClr val="D3AEA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Summary'!$B$66:$F$66</c:f>
              <c:numCache>
                <c:formatCode>\€#\ ##0;[Red]"(€"#\ ##0\);\-</c:formatCode>
                <c:ptCount val="5"/>
                <c:pt idx="0">
                  <c:v>9360</c:v>
                </c:pt>
                <c:pt idx="1">
                  <c:v>31200</c:v>
                </c:pt>
                <c:pt idx="2">
                  <c:v>70200</c:v>
                </c:pt>
                <c:pt idx="3">
                  <c:v>156000</c:v>
                </c:pt>
                <c:pt idx="4">
                  <c:v>202800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533-4030-A289-A0C5C6187B18}"/>
            </c:ext>
          </c:extLst>
        </c:ser>
        <c:ser>
          <c:idx val="4"/>
          <c:order val="4"/>
          <c:tx>
            <c:v>PaaS Subscription</c:v>
          </c:tx>
          <c:spPr>
            <a:ln w="28080">
              <a:solidFill>
                <a:srgbClr val="F1C7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Summary'!$B$67:$F$67</c:f>
              <c:numCache>
                <c:formatCode>#\ ##0.00" EUR";[Red]\(#\ ##0.00" EUR)";\-</c:formatCode>
                <c:ptCount val="5"/>
                <c:pt idx="0">
                  <c:v>59200</c:v>
                </c:pt>
                <c:pt idx="1">
                  <c:v>106200</c:v>
                </c:pt>
                <c:pt idx="2">
                  <c:v>206000</c:v>
                </c:pt>
                <c:pt idx="3">
                  <c:v>417000</c:v>
                </c:pt>
                <c:pt idx="4">
                  <c:v>506000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533-4030-A289-A0C5C6187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8669330"/>
        <c:axId val="49820112"/>
      </c:lineChart>
      <c:catAx>
        <c:axId val="7866933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49820112"/>
        <c:crosses val="autoZero"/>
        <c:auto val="1"/>
        <c:lblAlgn val="ctr"/>
        <c:lblOffset val="100"/>
        <c:noMultiLvlLbl val="0"/>
      </c:catAx>
      <c:valAx>
        <c:axId val="498201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;[Red]&quot;(€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786693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Year 5: Revenue / Cost / EBITDA by Model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'Value Case Summary'!$B$80</c:f>
              <c:strCache>
                <c:ptCount val="1"/>
                <c:pt idx="0">
                  <c:v>Revenue (€)</c:v>
                </c:pt>
              </c:strCache>
            </c:strRef>
          </c:tx>
          <c:spPr>
            <a:solidFill>
              <a:srgbClr val="92C5D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Summary'!$A$81:$A$85</c:f>
              <c:strCache>
                <c:ptCount val="5"/>
                <c:pt idx="0">
                  <c:v>Current Linear BM</c:v>
                </c:pt>
                <c:pt idx="1">
                  <c:v>Repair &amp; Maintenance</c:v>
                </c:pt>
                <c:pt idx="2">
                  <c:v>Resell</c:v>
                </c:pt>
                <c:pt idx="3">
                  <c:v>Remanufacture</c:v>
                </c:pt>
                <c:pt idx="4">
                  <c:v>PaaS Subscription</c:v>
                </c:pt>
              </c:strCache>
            </c:strRef>
          </c:cat>
          <c:val>
            <c:numRef>
              <c:f>'Value Case Summary'!$B$81:$B$85</c:f>
              <c:numCache>
                <c:formatCode>#\ ##0;\(#\ ##0\);\-</c:formatCode>
                <c:ptCount val="5"/>
                <c:pt idx="0">
                  <c:v>12870000</c:v>
                </c:pt>
                <c:pt idx="1">
                  <c:v>401500</c:v>
                </c:pt>
                <c:pt idx="2">
                  <c:v>202510</c:v>
                </c:pt>
                <c:pt idx="3">
                  <c:v>202800</c:v>
                </c:pt>
                <c:pt idx="4">
                  <c:v>506000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B-4C63-B089-E547E7D192F0}"/>
            </c:ext>
          </c:extLst>
        </c:ser>
        <c:ser>
          <c:idx val="1"/>
          <c:order val="1"/>
          <c:tx>
            <c:strRef>
              <c:f>'Value Case Summary'!$C$80</c:f>
              <c:strCache>
                <c:ptCount val="1"/>
                <c:pt idx="0">
                  <c:v>Op. Cost (€)</c:v>
                </c:pt>
              </c:strCache>
            </c:strRef>
          </c:tx>
          <c:spPr>
            <a:solidFill>
              <a:srgbClr val="D3AEA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Summary'!$A$81:$A$85</c:f>
              <c:strCache>
                <c:ptCount val="5"/>
                <c:pt idx="0">
                  <c:v>Current Linear BM</c:v>
                </c:pt>
                <c:pt idx="1">
                  <c:v>Repair &amp; Maintenance</c:v>
                </c:pt>
                <c:pt idx="2">
                  <c:v>Resell</c:v>
                </c:pt>
                <c:pt idx="3">
                  <c:v>Remanufacture</c:v>
                </c:pt>
                <c:pt idx="4">
                  <c:v>PaaS Subscription</c:v>
                </c:pt>
              </c:strCache>
            </c:strRef>
          </c:cat>
          <c:val>
            <c:numRef>
              <c:f>'Value Case Summary'!$C$81:$C$85</c:f>
              <c:numCache>
                <c:formatCode>#\ ##0;\(#\ ##0\);\-</c:formatCode>
                <c:ptCount val="5"/>
                <c:pt idx="0">
                  <c:v>8902000</c:v>
                </c:pt>
                <c:pt idx="1">
                  <c:v>366500</c:v>
                </c:pt>
                <c:pt idx="2">
                  <c:v>41000</c:v>
                </c:pt>
                <c:pt idx="3">
                  <c:v>131100</c:v>
                </c:pt>
                <c:pt idx="4">
                  <c:v>208300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B-4C63-B089-E547E7D192F0}"/>
            </c:ext>
          </c:extLst>
        </c:ser>
        <c:ser>
          <c:idx val="2"/>
          <c:order val="2"/>
          <c:tx>
            <c:strRef>
              <c:f>'Value Case Summary'!$D$80</c:f>
              <c:strCache>
                <c:ptCount val="1"/>
                <c:pt idx="0">
                  <c:v>EBITDA (€)</c:v>
                </c:pt>
              </c:strCache>
            </c:strRef>
          </c:tx>
          <c:spPr>
            <a:solidFill>
              <a:srgbClr val="96D0C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'Value Case Summary'!$A$81:$A$85</c:f>
              <c:strCache>
                <c:ptCount val="5"/>
                <c:pt idx="0">
                  <c:v>Current Linear BM</c:v>
                </c:pt>
                <c:pt idx="1">
                  <c:v>Repair &amp; Maintenance</c:v>
                </c:pt>
                <c:pt idx="2">
                  <c:v>Resell</c:v>
                </c:pt>
                <c:pt idx="3">
                  <c:v>Remanufacture</c:v>
                </c:pt>
                <c:pt idx="4">
                  <c:v>PaaS Subscription</c:v>
                </c:pt>
              </c:strCache>
            </c:strRef>
          </c:cat>
          <c:val>
            <c:numRef>
              <c:f>'Value Case Summary'!$D$81:$D$85</c:f>
              <c:numCache>
                <c:formatCode>#\ ##0;\(#\ ##0\);\-</c:formatCode>
                <c:ptCount val="5"/>
                <c:pt idx="0">
                  <c:v>3968000</c:v>
                </c:pt>
                <c:pt idx="1">
                  <c:v>35000</c:v>
                </c:pt>
                <c:pt idx="2">
                  <c:v>161510</c:v>
                </c:pt>
                <c:pt idx="3">
                  <c:v>71700</c:v>
                </c:pt>
                <c:pt idx="4">
                  <c:v>297700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5B-4C63-B089-E547E7D19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89542"/>
        <c:axId val="85686835"/>
      </c:barChart>
      <c:catAx>
        <c:axId val="4668954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85686835"/>
        <c:crosses val="autoZero"/>
        <c:auto val="1"/>
        <c:lblAlgn val="ctr"/>
        <c:lblOffset val="100"/>
        <c:noMultiLvlLbl val="0"/>
      </c:catAx>
      <c:valAx>
        <c:axId val="856868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4668954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fi-FI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EBITDA Trend by Model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Current Linear BM</c:v>
          </c:tx>
          <c:spPr>
            <a:ln w="28080">
              <a:solidFill>
                <a:srgbClr val="9E9E9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Summary'!$B$72:$F$72</c:f>
              <c:numCache>
                <c:formatCode>#\ ##0.00" EUR";[Red]\(#\ ##0.00" EUR)";\-</c:formatCode>
                <c:ptCount val="5"/>
                <c:pt idx="0">
                  <c:v>4452000</c:v>
                </c:pt>
                <c:pt idx="1">
                  <c:v>4331000</c:v>
                </c:pt>
                <c:pt idx="2">
                  <c:v>4210000</c:v>
                </c:pt>
                <c:pt idx="3">
                  <c:v>4089000</c:v>
                </c:pt>
                <c:pt idx="4">
                  <c:v>3968000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262-4305-9309-D0FBD6387183}"/>
            </c:ext>
          </c:extLst>
        </c:ser>
        <c:ser>
          <c:idx val="1"/>
          <c:order val="1"/>
          <c:tx>
            <c:v>Repair &amp; Maintenance</c:v>
          </c:tx>
          <c:spPr>
            <a:ln w="28080">
              <a:solidFill>
                <a:srgbClr val="96D0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Summary'!$B$73:$F$73</c:f>
              <c:numCache>
                <c:formatCode>\€#\ ##0;[Red]"(€"#\ ##0\);\-</c:formatCode>
                <c:ptCount val="5"/>
                <c:pt idx="0">
                  <c:v>-8000</c:v>
                </c:pt>
                <c:pt idx="1">
                  <c:v>-11000</c:v>
                </c:pt>
                <c:pt idx="2">
                  <c:v>-6500</c:v>
                </c:pt>
                <c:pt idx="3">
                  <c:v>18000</c:v>
                </c:pt>
                <c:pt idx="4">
                  <c:v>35000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262-4305-9309-D0FBD6387183}"/>
            </c:ext>
          </c:extLst>
        </c:ser>
        <c:ser>
          <c:idx val="2"/>
          <c:order val="2"/>
          <c:tx>
            <c:v>Resell</c:v>
          </c:tx>
          <c:spPr>
            <a:ln w="28080">
              <a:solidFill>
                <a:srgbClr val="D8DB7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Summary'!$B$74:$F$74</c:f>
              <c:numCache>
                <c:formatCode>\€#\ ##0;[Red]"(€"#\ ##0\);\-</c:formatCode>
                <c:ptCount val="5"/>
                <c:pt idx="0">
                  <c:v>13510</c:v>
                </c:pt>
                <c:pt idx="1">
                  <c:v>41260</c:v>
                </c:pt>
                <c:pt idx="2">
                  <c:v>78260</c:v>
                </c:pt>
                <c:pt idx="3">
                  <c:v>133760</c:v>
                </c:pt>
                <c:pt idx="4">
                  <c:v>161510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262-4305-9309-D0FBD6387183}"/>
            </c:ext>
          </c:extLst>
        </c:ser>
        <c:ser>
          <c:idx val="3"/>
          <c:order val="3"/>
          <c:tx>
            <c:v>Remanufacture</c:v>
          </c:tx>
          <c:spPr>
            <a:ln w="28080">
              <a:solidFill>
                <a:srgbClr val="D3AEA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Summary'!$B$75:$F$75</c:f>
              <c:numCache>
                <c:formatCode>\€#\ ##0;[Red]"(€"#\ ##0\);\-</c:formatCode>
                <c:ptCount val="5"/>
                <c:pt idx="0">
                  <c:v>-1460</c:v>
                </c:pt>
                <c:pt idx="1">
                  <c:v>6800</c:v>
                </c:pt>
                <c:pt idx="2">
                  <c:v>21550</c:v>
                </c:pt>
                <c:pt idx="3">
                  <c:v>54000</c:v>
                </c:pt>
                <c:pt idx="4">
                  <c:v>71700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262-4305-9309-D0FBD6387183}"/>
            </c:ext>
          </c:extLst>
        </c:ser>
        <c:ser>
          <c:idx val="4"/>
          <c:order val="4"/>
          <c:tx>
            <c:v>PaaS Subscription</c:v>
          </c:tx>
          <c:spPr>
            <a:ln w="28080">
              <a:solidFill>
                <a:srgbClr val="F1C7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'Value Case Summary'!$B$76:$F$76</c:f>
              <c:numCache>
                <c:formatCode>#\ ##0.00" EUR";[Red]\(#\ ##0.00" EUR)";\-</c:formatCode>
                <c:ptCount val="5"/>
                <c:pt idx="0">
                  <c:v>43300</c:v>
                </c:pt>
                <c:pt idx="1">
                  <c:v>63800</c:v>
                </c:pt>
                <c:pt idx="2">
                  <c:v>126500</c:v>
                </c:pt>
                <c:pt idx="3">
                  <c:v>258000</c:v>
                </c:pt>
                <c:pt idx="4">
                  <c:v>297700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262-4305-9309-D0FBD6387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0410069"/>
        <c:axId val="12452692"/>
      </c:lineChart>
      <c:catAx>
        <c:axId val="3041006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12452692"/>
        <c:crosses val="autoZero"/>
        <c:auto val="1"/>
        <c:lblAlgn val="ctr"/>
        <c:lblOffset val="100"/>
        <c:noMultiLvlLbl val="0"/>
      </c:catAx>
      <c:valAx>
        <c:axId val="124526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i-FI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;[Red]&quot;(€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3041006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Circular Revenue by Module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Repair</c:v>
          </c:tx>
          <c:spPr>
            <a:solidFill>
              <a:srgbClr val="96D0C6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Dashboard'!$C$39:$G$39</c:f>
              <c:numCache>
                <c:formatCode>\€#\ ##0;[Red]"(€"#\ ##0\);\-</c:formatCode>
                <c:ptCount val="5"/>
                <c:pt idx="0">
                  <c:v>36500</c:v>
                </c:pt>
                <c:pt idx="1">
                  <c:v>87600</c:v>
                </c:pt>
                <c:pt idx="2">
                  <c:v>160600</c:v>
                </c:pt>
                <c:pt idx="3">
                  <c:v>292000</c:v>
                </c:pt>
                <c:pt idx="4">
                  <c:v>401500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6-46B3-A16E-806BE0307E9B}"/>
            </c:ext>
          </c:extLst>
        </c:ser>
        <c:ser>
          <c:idx val="1"/>
          <c:order val="1"/>
          <c:tx>
            <c:v>Resell</c:v>
          </c:tx>
          <c:spPr>
            <a:solidFill>
              <a:srgbClr val="D8DB72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Dashboard'!$C$40:$G$40</c:f>
              <c:numCache>
                <c:formatCode>\€#\ ##0;[Red]"(€"#\ ##0\);\-</c:formatCode>
                <c:ptCount val="5"/>
                <c:pt idx="0">
                  <c:v>22510</c:v>
                </c:pt>
                <c:pt idx="1">
                  <c:v>56260</c:v>
                </c:pt>
                <c:pt idx="2">
                  <c:v>101260</c:v>
                </c:pt>
                <c:pt idx="3">
                  <c:v>168760</c:v>
                </c:pt>
                <c:pt idx="4">
                  <c:v>202510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B6-46B3-A16E-806BE0307E9B}"/>
            </c:ext>
          </c:extLst>
        </c:ser>
        <c:ser>
          <c:idx val="2"/>
          <c:order val="2"/>
          <c:tx>
            <c:v>Remanufacture</c:v>
          </c:tx>
          <c:spPr>
            <a:solidFill>
              <a:srgbClr val="D3AEAD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Dashboard'!$C$41:$G$41</c:f>
              <c:numCache>
                <c:formatCode>\€#\ ##0;[Red]"(€"#\ ##0\);\-</c:formatCode>
                <c:ptCount val="5"/>
                <c:pt idx="0">
                  <c:v>9360</c:v>
                </c:pt>
                <c:pt idx="1">
                  <c:v>31200</c:v>
                </c:pt>
                <c:pt idx="2">
                  <c:v>70200</c:v>
                </c:pt>
                <c:pt idx="3">
                  <c:v>156000</c:v>
                </c:pt>
                <c:pt idx="4">
                  <c:v>202800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B6-46B3-A16E-806BE0307E9B}"/>
            </c:ext>
          </c:extLst>
        </c:ser>
        <c:ser>
          <c:idx val="3"/>
          <c:order val="3"/>
          <c:tx>
            <c:v>FaaS</c:v>
          </c:tx>
          <c:spPr>
            <a:solidFill>
              <a:srgbClr val="F1C748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Dashboard'!$C$42:$G$42</c:f>
              <c:numCache>
                <c:formatCode>#\ ##0.00" EUR";[Red]\(#\ ##0.00" EUR)";\-</c:formatCode>
                <c:ptCount val="5"/>
                <c:pt idx="0">
                  <c:v>59200</c:v>
                </c:pt>
                <c:pt idx="1">
                  <c:v>106200</c:v>
                </c:pt>
                <c:pt idx="2">
                  <c:v>206000</c:v>
                </c:pt>
                <c:pt idx="3">
                  <c:v>417000</c:v>
                </c:pt>
                <c:pt idx="4">
                  <c:v>506000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B6-46B3-A16E-806BE0307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085633"/>
        <c:axId val="36635865"/>
      </c:barChart>
      <c:catAx>
        <c:axId val="1508563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36635865"/>
        <c:crosses val="autoZero"/>
        <c:auto val="1"/>
        <c:lblAlgn val="ctr"/>
        <c:lblOffset val="100"/>
        <c:noMultiLvlLbl val="0"/>
      </c:catAx>
      <c:valAx>
        <c:axId val="3663586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;[Red]&quot;(€&quot;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1508563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i-FI" sz="1800" b="1" strike="noStrike" spc="-1">
                <a:solidFill>
                  <a:srgbClr val="000000"/>
                </a:solidFill>
                <a:latin typeface="Calibri"/>
              </a:rPr>
              <a:t>EBITDA Margin Trend by Module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Repair</c:v>
          </c:tx>
          <c:spPr>
            <a:ln w="24840">
              <a:solidFill>
                <a:srgbClr val="96D0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Dashboard'!$C$45:$G$45</c:f>
              <c:numCache>
                <c:formatCode>0%</c:formatCode>
                <c:ptCount val="5"/>
                <c:pt idx="0">
                  <c:v>-0.21917808219178081</c:v>
                </c:pt>
                <c:pt idx="1">
                  <c:v>-0.12557077625570776</c:v>
                </c:pt>
                <c:pt idx="2">
                  <c:v>-4.0473225404732256E-2</c:v>
                </c:pt>
                <c:pt idx="3">
                  <c:v>6.1643835616438353E-2</c:v>
                </c:pt>
                <c:pt idx="4">
                  <c:v>8.717310087173101E-2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EC9-46E9-A1DD-BFC0BFD407AC}"/>
            </c:ext>
          </c:extLst>
        </c:ser>
        <c:ser>
          <c:idx val="1"/>
          <c:order val="1"/>
          <c:tx>
            <c:v>Resell</c:v>
          </c:tx>
          <c:spPr>
            <a:ln w="24840">
              <a:solidFill>
                <a:srgbClr val="D8DB7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Dashboard'!$C$46:$G$46</c:f>
              <c:numCache>
                <c:formatCode>0%</c:formatCode>
                <c:ptCount val="5"/>
                <c:pt idx="0">
                  <c:v>0.60017769880053307</c:v>
                </c:pt>
                <c:pt idx="1">
                  <c:v>0.73338073231425527</c:v>
                </c:pt>
                <c:pt idx="2">
                  <c:v>0.77286193956152482</c:v>
                </c:pt>
                <c:pt idx="3">
                  <c:v>0.79260488267361939</c:v>
                </c:pt>
                <c:pt idx="4">
                  <c:v>0.79754086217964548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EC9-46E9-A1DD-BFC0BFD407AC}"/>
            </c:ext>
          </c:extLst>
        </c:ser>
        <c:ser>
          <c:idx val="2"/>
          <c:order val="2"/>
          <c:tx>
            <c:v>Remanufacture</c:v>
          </c:tx>
          <c:spPr>
            <a:ln w="24840">
              <a:solidFill>
                <a:srgbClr val="D3AEA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Dashboard'!$C$47:$G$47</c:f>
              <c:numCache>
                <c:formatCode>0%</c:formatCode>
                <c:ptCount val="5"/>
                <c:pt idx="0">
                  <c:v>-0.15598290598290598</c:v>
                </c:pt>
                <c:pt idx="1">
                  <c:v>0.21794871794871795</c:v>
                </c:pt>
                <c:pt idx="2">
                  <c:v>0.30698005698005698</c:v>
                </c:pt>
                <c:pt idx="3">
                  <c:v>0.34615384615384615</c:v>
                </c:pt>
                <c:pt idx="4">
                  <c:v>0.35355029585798814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EC9-46E9-A1DD-BFC0BFD407AC}"/>
            </c:ext>
          </c:extLst>
        </c:ser>
        <c:ser>
          <c:idx val="3"/>
          <c:order val="3"/>
          <c:tx>
            <c:v>FaaS</c:v>
          </c:tx>
          <c:spPr>
            <a:ln w="24840">
              <a:solidFill>
                <a:srgbClr val="F1C7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i-FI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'Circular Impact Dashboard'!$C$48:$G$48</c:f>
              <c:numCache>
                <c:formatCode>0%</c:formatCode>
                <c:ptCount val="5"/>
                <c:pt idx="0">
                  <c:v>0.73141891891891897</c:v>
                </c:pt>
                <c:pt idx="1">
                  <c:v>0.60075329566854996</c:v>
                </c:pt>
                <c:pt idx="2">
                  <c:v>0.61407766990291257</c:v>
                </c:pt>
                <c:pt idx="3">
                  <c:v>0.61870503597122306</c:v>
                </c:pt>
                <c:pt idx="4">
                  <c:v>0.58833992094861665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EC9-46E9-A1DD-BFC0BFD40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4157216"/>
        <c:axId val="1054754"/>
      </c:lineChart>
      <c:catAx>
        <c:axId val="24157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1054754"/>
        <c:crosses val="autoZero"/>
        <c:auto val="1"/>
        <c:lblAlgn val="ctr"/>
        <c:lblOffset val="100"/>
        <c:noMultiLvlLbl val="0"/>
      </c:catAx>
      <c:valAx>
        <c:axId val="105475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i-FI" sz="1000" b="1" strike="noStrike" spc="-1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i-FI"/>
          </a:p>
        </c:txPr>
        <c:crossAx val="2415721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76</xdr:row>
      <xdr:rowOff>171360</xdr:rowOff>
    </xdr:from>
    <xdr:to>
      <xdr:col>2</xdr:col>
      <xdr:colOff>1197810</xdr:colOff>
      <xdr:row>96</xdr:row>
      <xdr:rowOff>149400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70</xdr:row>
      <xdr:rowOff>171720</xdr:rowOff>
    </xdr:from>
    <xdr:to>
      <xdr:col>3</xdr:col>
      <xdr:colOff>550440</xdr:colOff>
      <xdr:row>90</xdr:row>
      <xdr:rowOff>149400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75</xdr:row>
      <xdr:rowOff>171360</xdr:rowOff>
    </xdr:from>
    <xdr:to>
      <xdr:col>3</xdr:col>
      <xdr:colOff>4140</xdr:colOff>
      <xdr:row>95</xdr:row>
      <xdr:rowOff>149400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83</xdr:row>
      <xdr:rowOff>171360</xdr:rowOff>
    </xdr:from>
    <xdr:to>
      <xdr:col>2</xdr:col>
      <xdr:colOff>1197810</xdr:colOff>
      <xdr:row>103</xdr:row>
      <xdr:rowOff>149400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102960</xdr:colOff>
      <xdr:row>34</xdr:row>
      <xdr:rowOff>84960</xdr:rowOff>
    </xdr:from>
    <xdr:to>
      <xdr:col>16</xdr:col>
      <xdr:colOff>281880</xdr:colOff>
      <xdr:row>49</xdr:row>
      <xdr:rowOff>4396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385200</xdr:colOff>
      <xdr:row>51</xdr:row>
      <xdr:rowOff>152280</xdr:rowOff>
    </xdr:from>
    <xdr:to>
      <xdr:col>14</xdr:col>
      <xdr:colOff>447480</xdr:colOff>
      <xdr:row>70</xdr:row>
      <xdr:rowOff>84601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87</xdr:row>
      <xdr:rowOff>0</xdr:rowOff>
    </xdr:from>
    <xdr:to>
      <xdr:col>3</xdr:col>
      <xdr:colOff>677520</xdr:colOff>
      <xdr:row>108</xdr:row>
      <xdr:rowOff>156599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0</xdr:colOff>
      <xdr:row>87</xdr:row>
      <xdr:rowOff>0</xdr:rowOff>
    </xdr:from>
    <xdr:to>
      <xdr:col>16</xdr:col>
      <xdr:colOff>178920</xdr:colOff>
      <xdr:row>108</xdr:row>
      <xdr:rowOff>156599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105</xdr:row>
      <xdr:rowOff>0</xdr:rowOff>
    </xdr:from>
    <xdr:to>
      <xdr:col>3</xdr:col>
      <xdr:colOff>677520</xdr:colOff>
      <xdr:row>126</xdr:row>
      <xdr:rowOff>156239</xdr:rowOff>
    </xdr:to>
    <xdr:graphicFrame macro="">
      <xdr:nvGraphicFramePr>
        <xdr:cNvPr id="10" name="Chart 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0</xdr:colOff>
      <xdr:row>105</xdr:row>
      <xdr:rowOff>0</xdr:rowOff>
    </xdr:from>
    <xdr:to>
      <xdr:col>16</xdr:col>
      <xdr:colOff>178920</xdr:colOff>
      <xdr:row>126</xdr:row>
      <xdr:rowOff>156239</xdr:rowOff>
    </xdr:to>
    <xdr:graphicFrame macro="">
      <xdr:nvGraphicFramePr>
        <xdr:cNvPr id="11" name="Chart 6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</xdr:row>
      <xdr:rowOff>0</xdr:rowOff>
    </xdr:from>
    <xdr:to>
      <xdr:col>5</xdr:col>
      <xdr:colOff>601135</xdr:colOff>
      <xdr:row>72</xdr:row>
      <xdr:rowOff>169560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54</xdr:row>
      <xdr:rowOff>0</xdr:rowOff>
    </xdr:from>
    <xdr:to>
      <xdr:col>15</xdr:col>
      <xdr:colOff>312905</xdr:colOff>
      <xdr:row>72</xdr:row>
      <xdr:rowOff>169560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68"/>
  <sheetViews>
    <sheetView showGridLines="0" zoomScale="86" zoomScaleNormal="86" workbookViewId="0">
      <selection activeCell="B2" sqref="B2:G2"/>
    </sheetView>
  </sheetViews>
  <sheetFormatPr defaultColWidth="8.54296875" defaultRowHeight="14.5"/>
  <cols>
    <col min="2" max="2" width="28" customWidth="1"/>
    <col min="3" max="3" width="34.81640625" customWidth="1"/>
    <col min="4" max="4" width="29.453125" customWidth="1"/>
    <col min="5" max="5" width="29.81640625" customWidth="1"/>
    <col min="6" max="7" width="18" customWidth="1"/>
    <col min="8" max="8" width="22" customWidth="1"/>
    <col min="9" max="9" width="60" customWidth="1"/>
  </cols>
  <sheetData>
    <row r="1" spans="2:7" ht="42.75" customHeight="1">
      <c r="B1" s="11" t="e" vm="1">
        <v>#VALUE!</v>
      </c>
    </row>
    <row r="2" spans="2:7" ht="90.75" customHeight="1">
      <c r="B2" s="284" t="s">
        <v>0</v>
      </c>
      <c r="C2" s="284"/>
      <c r="D2" s="284"/>
      <c r="E2" s="284"/>
      <c r="F2" s="284"/>
      <c r="G2" s="284"/>
    </row>
    <row r="3" spans="2:7" ht="19.5" customHeight="1">
      <c r="B3" s="12" t="s">
        <v>1</v>
      </c>
      <c r="C3" s="13"/>
      <c r="D3" s="14"/>
      <c r="E3" s="14"/>
      <c r="F3" s="15"/>
      <c r="G3" s="15"/>
    </row>
    <row r="4" spans="2:7" ht="43.5" customHeight="1">
      <c r="B4" s="16" t="s">
        <v>2</v>
      </c>
      <c r="C4" s="17" t="s">
        <v>3</v>
      </c>
      <c r="D4" s="18"/>
      <c r="E4" s="18"/>
      <c r="F4" s="10"/>
      <c r="G4" s="10"/>
    </row>
    <row r="5" spans="2:7" ht="19.5" customHeight="1">
      <c r="B5" s="19" t="s">
        <v>4</v>
      </c>
      <c r="C5" s="20" t="s">
        <v>5</v>
      </c>
      <c r="D5" s="18"/>
      <c r="E5" s="18"/>
      <c r="F5" s="10"/>
      <c r="G5" s="10"/>
    </row>
    <row r="6" spans="2:7" ht="27" customHeight="1">
      <c r="B6" s="19" t="s">
        <v>6</v>
      </c>
      <c r="C6" s="20" t="s">
        <v>7</v>
      </c>
      <c r="D6" s="18"/>
      <c r="E6" s="21"/>
      <c r="F6" s="10"/>
      <c r="G6" s="10"/>
    </row>
    <row r="7" spans="2:7" ht="31.5" customHeight="1">
      <c r="B7" s="19" t="s">
        <v>8</v>
      </c>
      <c r="C7" s="20" t="s">
        <v>9</v>
      </c>
      <c r="D7" s="18"/>
      <c r="E7" s="18"/>
      <c r="F7" s="10"/>
      <c r="G7" s="10"/>
    </row>
    <row r="8" spans="2:7" ht="37.5" customHeight="1">
      <c r="B8" s="19" t="s">
        <v>10</v>
      </c>
      <c r="C8" s="20" t="s">
        <v>11</v>
      </c>
      <c r="D8" s="18"/>
      <c r="E8" s="18"/>
      <c r="F8" s="10"/>
      <c r="G8" s="10"/>
    </row>
    <row r="9" spans="2:7" ht="19.5" customHeight="1">
      <c r="B9" s="19" t="s">
        <v>12</v>
      </c>
      <c r="C9" s="20" t="s">
        <v>13</v>
      </c>
      <c r="D9" s="18"/>
      <c r="E9" s="18"/>
      <c r="F9" s="10"/>
      <c r="G9" s="10"/>
    </row>
    <row r="10" spans="2:7" ht="42.75" customHeight="1">
      <c r="B10" s="19" t="s">
        <v>14</v>
      </c>
      <c r="C10" s="20" t="s">
        <v>15</v>
      </c>
      <c r="D10" s="18"/>
      <c r="E10" s="18"/>
      <c r="F10" s="10"/>
      <c r="G10" s="10"/>
    </row>
    <row r="11" spans="2:7" ht="19.5" customHeight="1">
      <c r="B11" s="19" t="s">
        <v>16</v>
      </c>
      <c r="C11" s="20" t="s">
        <v>17</v>
      </c>
      <c r="D11" s="18"/>
      <c r="E11" s="18"/>
      <c r="F11" s="10"/>
      <c r="G11" s="10"/>
    </row>
    <row r="12" spans="2:7" ht="25.5" customHeight="1">
      <c r="B12" s="19" t="s">
        <v>18</v>
      </c>
      <c r="C12" s="20" t="s">
        <v>19</v>
      </c>
      <c r="D12" s="21"/>
      <c r="E12" s="21"/>
      <c r="F12" s="10"/>
      <c r="G12" s="10"/>
    </row>
    <row r="13" spans="2:7" ht="21.75" customHeight="1">
      <c r="B13" s="21"/>
      <c r="C13" s="21"/>
      <c r="D13" s="21"/>
      <c r="E13" s="21"/>
    </row>
    <row r="14" spans="2:7" ht="14.25" customHeight="1">
      <c r="B14" s="22" t="s">
        <v>20</v>
      </c>
      <c r="C14" s="21" t="s">
        <v>21</v>
      </c>
      <c r="D14" s="21"/>
      <c r="E14" s="21"/>
    </row>
    <row r="15" spans="2:7" ht="14.25" customHeight="1">
      <c r="B15" s="21"/>
      <c r="C15" s="21"/>
      <c r="D15" s="21"/>
      <c r="E15" s="21"/>
    </row>
    <row r="16" spans="2:7" ht="14.25" customHeight="1">
      <c r="B16" s="21"/>
      <c r="C16" s="21"/>
      <c r="D16" s="21"/>
      <c r="E16" s="21"/>
    </row>
    <row r="17" spans="2:5" ht="14.25" customHeight="1">
      <c r="B17" s="21"/>
      <c r="C17" s="21"/>
      <c r="D17" s="21"/>
      <c r="E17" s="21"/>
    </row>
    <row r="18" spans="2:5" ht="18" customHeight="1">
      <c r="B18" s="23" t="s">
        <v>22</v>
      </c>
      <c r="C18" s="24"/>
      <c r="D18" s="24"/>
      <c r="E18" s="24"/>
    </row>
    <row r="19" spans="2:5" ht="14.25" customHeight="1">
      <c r="B19" s="21"/>
      <c r="C19" s="21"/>
      <c r="D19" s="21"/>
      <c r="E19" s="21"/>
    </row>
    <row r="20" spans="2:5" ht="14.25" customHeight="1">
      <c r="B20" s="25" t="s">
        <v>23</v>
      </c>
      <c r="C20" s="25" t="s">
        <v>24</v>
      </c>
      <c r="D20" s="25" t="s">
        <v>25</v>
      </c>
      <c r="E20" s="25" t="s">
        <v>26</v>
      </c>
    </row>
    <row r="21" spans="2:5" ht="28.5" customHeight="1">
      <c r="B21" s="26">
        <v>1</v>
      </c>
      <c r="C21" s="26" t="s">
        <v>27</v>
      </c>
      <c r="D21" s="26" t="s">
        <v>28</v>
      </c>
      <c r="E21" s="26" t="s">
        <v>29</v>
      </c>
    </row>
    <row r="22" spans="2:5" ht="28.5" customHeight="1">
      <c r="B22" s="26">
        <v>2</v>
      </c>
      <c r="C22" s="26" t="s">
        <v>30</v>
      </c>
      <c r="D22" s="26" t="s">
        <v>31</v>
      </c>
      <c r="E22" s="26" t="s">
        <v>32</v>
      </c>
    </row>
    <row r="23" spans="2:5" ht="28.5" customHeight="1">
      <c r="B23" s="26">
        <v>3</v>
      </c>
      <c r="C23" s="26" t="s">
        <v>33</v>
      </c>
      <c r="D23" s="26" t="s">
        <v>34</v>
      </c>
      <c r="E23" s="26" t="s">
        <v>35</v>
      </c>
    </row>
    <row r="24" spans="2:5" ht="28.5" customHeight="1">
      <c r="B24" s="26">
        <v>4</v>
      </c>
      <c r="C24" s="26" t="s">
        <v>36</v>
      </c>
      <c r="D24" s="26" t="s">
        <v>37</v>
      </c>
      <c r="E24" s="26" t="s">
        <v>38</v>
      </c>
    </row>
    <row r="25" spans="2:5" ht="28.5" customHeight="1">
      <c r="B25" s="26">
        <v>5</v>
      </c>
      <c r="C25" s="26" t="s">
        <v>39</v>
      </c>
      <c r="D25" s="26" t="s">
        <v>40</v>
      </c>
      <c r="E25" s="26" t="s">
        <v>41</v>
      </c>
    </row>
    <row r="26" spans="2:5" ht="28.5" customHeight="1">
      <c r="B26" s="26">
        <v>6</v>
      </c>
      <c r="C26" s="26" t="s">
        <v>42</v>
      </c>
      <c r="D26" s="26" t="s">
        <v>43</v>
      </c>
      <c r="E26" s="26" t="s">
        <v>44</v>
      </c>
    </row>
    <row r="27" spans="2:5" ht="14.25" customHeight="1">
      <c r="B27" s="21"/>
      <c r="C27" s="21"/>
      <c r="D27" s="21"/>
      <c r="E27" s="21"/>
    </row>
    <row r="28" spans="2:5" ht="14.25" customHeight="1">
      <c r="B28" s="21"/>
      <c r="C28" s="21"/>
      <c r="D28" s="21"/>
      <c r="E28" s="21"/>
    </row>
    <row r="29" spans="2:5" ht="18" customHeight="1">
      <c r="B29" s="27" t="s">
        <v>45</v>
      </c>
      <c r="C29" s="24"/>
      <c r="D29" s="24"/>
      <c r="E29" s="24"/>
    </row>
    <row r="30" spans="2:5" ht="28.5" customHeight="1">
      <c r="B30" s="25" t="s">
        <v>46</v>
      </c>
      <c r="C30" s="25" t="s">
        <v>47</v>
      </c>
      <c r="D30" s="25" t="s">
        <v>48</v>
      </c>
      <c r="E30" s="25" t="s">
        <v>49</v>
      </c>
    </row>
    <row r="31" spans="2:5" ht="28.5" customHeight="1">
      <c r="B31" s="19" t="s">
        <v>50</v>
      </c>
      <c r="C31" s="28" t="s">
        <v>51</v>
      </c>
      <c r="D31" s="28" t="s">
        <v>52</v>
      </c>
      <c r="E31" s="28" t="s">
        <v>53</v>
      </c>
    </row>
    <row r="32" spans="2:5" ht="28.5" customHeight="1">
      <c r="B32" s="19" t="s">
        <v>54</v>
      </c>
      <c r="C32" s="28" t="s">
        <v>55</v>
      </c>
      <c r="D32" s="28" t="s">
        <v>56</v>
      </c>
      <c r="E32" s="28" t="s">
        <v>57</v>
      </c>
    </row>
    <row r="33" spans="2:6" ht="28.5" customHeight="1">
      <c r="B33" s="19" t="s">
        <v>58</v>
      </c>
      <c r="C33" s="28" t="s">
        <v>59</v>
      </c>
      <c r="D33" s="28" t="s">
        <v>60</v>
      </c>
      <c r="E33" s="28" t="s">
        <v>61</v>
      </c>
    </row>
    <row r="34" spans="2:6" ht="28.5" customHeight="1">
      <c r="B34" s="19" t="s">
        <v>62</v>
      </c>
      <c r="C34" s="28" t="s">
        <v>63</v>
      </c>
      <c r="D34" s="28" t="s">
        <v>64</v>
      </c>
      <c r="E34" s="28" t="s">
        <v>65</v>
      </c>
    </row>
    <row r="35" spans="2:6" ht="28.5" customHeight="1">
      <c r="B35" s="19" t="s">
        <v>66</v>
      </c>
      <c r="C35" s="28" t="s">
        <v>67</v>
      </c>
      <c r="D35" s="28" t="s">
        <v>68</v>
      </c>
      <c r="E35" s="28" t="s">
        <v>69</v>
      </c>
    </row>
    <row r="44" spans="2:6" ht="14.25" customHeight="1">
      <c r="C44" s="29"/>
      <c r="D44" s="30"/>
      <c r="E44" s="10"/>
      <c r="F44" s="10"/>
    </row>
    <row r="45" spans="2:6" ht="14.25" customHeight="1">
      <c r="C45" s="31"/>
    </row>
    <row r="46" spans="2:6" ht="14.25" customHeight="1">
      <c r="C46" s="31"/>
      <c r="D46" s="32"/>
    </row>
    <row r="48" spans="2:6" ht="14.25" customHeight="1">
      <c r="C48" s="31"/>
      <c r="D48" s="32"/>
    </row>
    <row r="49" spans="3:4" ht="14.25" customHeight="1">
      <c r="C49" s="31"/>
    </row>
    <row r="50" spans="3:4" ht="14.25" customHeight="1">
      <c r="D50" s="32"/>
    </row>
    <row r="52" spans="3:4" ht="14.25" customHeight="1">
      <c r="D52" s="32"/>
    </row>
    <row r="61" spans="3:4" ht="14.25" customHeight="1">
      <c r="C61" s="33"/>
    </row>
    <row r="67" spans="3:4" ht="14.25" customHeight="1">
      <c r="D67" s="32"/>
    </row>
    <row r="68" spans="3:4" ht="14.25" customHeight="1">
      <c r="C68" s="34"/>
      <c r="D68" s="32"/>
    </row>
  </sheetData>
  <mergeCells count="1">
    <mergeCell ref="B2:G2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showGridLines="0" zoomScaleNormal="100" workbookViewId="0">
      <selection sqref="A1:H1"/>
    </sheetView>
  </sheetViews>
  <sheetFormatPr defaultColWidth="8.54296875" defaultRowHeight="14.5"/>
  <cols>
    <col min="1" max="1" width="22" customWidth="1"/>
    <col min="2" max="2" width="44" customWidth="1"/>
    <col min="3" max="3" width="28.54296875" customWidth="1"/>
    <col min="4" max="4" width="24.26953125" customWidth="1"/>
    <col min="5" max="5" width="29.54296875" customWidth="1"/>
    <col min="6" max="6" width="24.81640625" customWidth="1"/>
    <col min="7" max="7" width="24.1796875" customWidth="1"/>
    <col min="8" max="8" width="50.7265625" customWidth="1"/>
  </cols>
  <sheetData>
    <row r="1" spans="1:8" ht="42.5" customHeight="1">
      <c r="A1" s="285" t="s">
        <v>70</v>
      </c>
      <c r="B1" s="285"/>
      <c r="C1" s="285"/>
      <c r="D1" s="285"/>
      <c r="E1" s="285"/>
      <c r="F1" s="285"/>
      <c r="G1" s="285"/>
      <c r="H1" s="285"/>
    </row>
    <row r="2" spans="1:8" ht="14.25" customHeight="1">
      <c r="A2" s="35"/>
      <c r="B2" s="21"/>
      <c r="C2" s="21"/>
      <c r="D2" s="21"/>
      <c r="E2" s="21"/>
      <c r="F2" s="21"/>
      <c r="G2" s="21"/>
      <c r="H2" s="21"/>
    </row>
    <row r="3" spans="1:8" ht="14.25" customHeight="1">
      <c r="A3" s="36"/>
      <c r="B3" s="37" t="s">
        <v>71</v>
      </c>
      <c r="C3" s="38" t="s">
        <v>72</v>
      </c>
      <c r="D3" s="38" t="s">
        <v>73</v>
      </c>
      <c r="E3" s="38" t="s">
        <v>74</v>
      </c>
      <c r="F3" s="38" t="s">
        <v>75</v>
      </c>
      <c r="G3" s="38" t="s">
        <v>76</v>
      </c>
      <c r="H3" s="37" t="s">
        <v>77</v>
      </c>
    </row>
    <row r="4" spans="1:8" ht="14.25" customHeight="1">
      <c r="A4" s="37" t="s">
        <v>78</v>
      </c>
      <c r="B4" s="36"/>
      <c r="C4" s="39"/>
      <c r="D4" s="39"/>
      <c r="E4" s="39"/>
      <c r="F4" s="39"/>
      <c r="G4" s="39"/>
      <c r="H4" s="36"/>
    </row>
    <row r="5" spans="1:8" ht="28.5" customHeight="1">
      <c r="A5" s="36"/>
      <c r="B5" s="40" t="s">
        <v>79</v>
      </c>
      <c r="C5" s="41">
        <f>SUM(C19,C22)</f>
        <v>14430000</v>
      </c>
      <c r="D5" s="41">
        <f>SUM(D19,D22)</f>
        <v>14040000</v>
      </c>
      <c r="E5" s="41">
        <f>SUM(E19,E22)</f>
        <v>13650000</v>
      </c>
      <c r="F5" s="41">
        <f>SUM(F19,F22)</f>
        <v>13260000</v>
      </c>
      <c r="G5" s="41">
        <f>SUM(G19,G22)</f>
        <v>12870000</v>
      </c>
      <c r="H5" s="40" t="s">
        <v>80</v>
      </c>
    </row>
    <row r="6" spans="1:8" ht="14.25" customHeight="1">
      <c r="A6" s="36"/>
      <c r="B6" s="40" t="s">
        <v>81</v>
      </c>
      <c r="C6" s="41">
        <f>SUM(C26,C28,C30,C32,C34,C36)</f>
        <v>9978000</v>
      </c>
      <c r="D6" s="41">
        <f>SUM(D26,D28,D30,D32,D34,D36)</f>
        <v>9709000</v>
      </c>
      <c r="E6" s="41">
        <f>SUM(E26,E28,E30,E32,E34,E36)</f>
        <v>9440000</v>
      </c>
      <c r="F6" s="41">
        <f>SUM(F26,F28,F30,F32,F34,F36)</f>
        <v>9171000</v>
      </c>
      <c r="G6" s="41">
        <f>SUM(G26,G28,G30,G32,G34,G36)</f>
        <v>8902000</v>
      </c>
      <c r="H6" s="40" t="s">
        <v>82</v>
      </c>
    </row>
    <row r="7" spans="1:8" ht="28.5" customHeight="1">
      <c r="A7" s="36"/>
      <c r="B7" s="40" t="s">
        <v>83</v>
      </c>
      <c r="C7" s="41">
        <f>C5-C6</f>
        <v>4452000</v>
      </c>
      <c r="D7" s="41">
        <f>D5-D6</f>
        <v>4331000</v>
      </c>
      <c r="E7" s="41">
        <f>E5-E6</f>
        <v>4210000</v>
      </c>
      <c r="F7" s="41">
        <f>F5-F6</f>
        <v>4089000</v>
      </c>
      <c r="G7" s="41">
        <f>G5-G6</f>
        <v>3968000</v>
      </c>
      <c r="H7" s="40" t="s">
        <v>84</v>
      </c>
    </row>
    <row r="8" spans="1:8" ht="28.5" customHeight="1">
      <c r="A8" s="36"/>
      <c r="B8" s="40" t="s">
        <v>85</v>
      </c>
      <c r="C8" s="41">
        <f>SUM(C39:C41)</f>
        <v>0</v>
      </c>
      <c r="D8" s="41">
        <f>SUM(D39:D41)</f>
        <v>0</v>
      </c>
      <c r="E8" s="41">
        <f>SUM(E39:E41)</f>
        <v>0</v>
      </c>
      <c r="F8" s="41">
        <f>SUM(F39:F41)</f>
        <v>0</v>
      </c>
      <c r="G8" s="41">
        <f>SUM(G39:G41)</f>
        <v>0</v>
      </c>
      <c r="H8" s="40" t="s">
        <v>86</v>
      </c>
    </row>
    <row r="9" spans="1:8" ht="14.25" customHeight="1">
      <c r="A9" s="36"/>
      <c r="B9" s="40" t="s">
        <v>87</v>
      </c>
      <c r="C9" s="41">
        <f>C7-C8</f>
        <v>4452000</v>
      </c>
      <c r="D9" s="41">
        <f>D7-D8</f>
        <v>4331000</v>
      </c>
      <c r="E9" s="41">
        <f>E7-E8</f>
        <v>4210000</v>
      </c>
      <c r="F9" s="41">
        <f>F7-F8</f>
        <v>4089000</v>
      </c>
      <c r="G9" s="41">
        <f>G7-G8</f>
        <v>3968000</v>
      </c>
      <c r="H9" s="40" t="s">
        <v>88</v>
      </c>
    </row>
    <row r="10" spans="1:8" ht="14.25" customHeight="1">
      <c r="A10" s="36"/>
      <c r="B10" s="40" t="s">
        <v>89</v>
      </c>
      <c r="C10" s="41">
        <f>SUM($C$9:C9)</f>
        <v>4452000</v>
      </c>
      <c r="D10" s="41">
        <f>SUM($C$9:D9)</f>
        <v>8783000</v>
      </c>
      <c r="E10" s="41">
        <f>SUM($C$9:E9)</f>
        <v>12993000</v>
      </c>
      <c r="F10" s="41">
        <f>SUM($C$9:F9)</f>
        <v>17082000</v>
      </c>
      <c r="G10" s="41">
        <f>SUM($C$9:G9)</f>
        <v>21050000</v>
      </c>
      <c r="H10" s="40" t="s">
        <v>90</v>
      </c>
    </row>
    <row r="11" spans="1:8" ht="14.25" customHeight="1">
      <c r="A11" s="36"/>
      <c r="B11" s="40" t="s">
        <v>91</v>
      </c>
      <c r="C11" s="42" t="str">
        <f>IF(AND(C5=0,D5=0,E5=0,F5=0,G5=0),"— (not filled)",IF(G10&lt;0,"&gt;5 years",IF(C10&gt;=0,"Year 1",IF(D10&gt;=0,"Year 2",IF(E10&gt;=0,"Year 3",IF(F10&gt;=0,"Year 4","Year 5"))))))</f>
        <v>Year 1</v>
      </c>
      <c r="D11" s="42"/>
      <c r="E11" s="42"/>
      <c r="F11" s="42"/>
      <c r="G11" s="42"/>
      <c r="H11" s="40"/>
    </row>
    <row r="12" spans="1:8" ht="14.25" customHeight="1">
      <c r="A12" s="21"/>
      <c r="B12" s="21"/>
      <c r="C12" s="21"/>
      <c r="D12" s="21"/>
      <c r="E12" s="21"/>
      <c r="F12" s="21"/>
      <c r="G12" s="21"/>
      <c r="H12" s="21"/>
    </row>
    <row r="13" spans="1:8" ht="14.25" customHeight="1">
      <c r="A13" s="21"/>
      <c r="B13" s="21"/>
      <c r="C13" s="21"/>
      <c r="D13" s="21"/>
      <c r="E13" s="21"/>
      <c r="F13" s="21"/>
      <c r="G13" s="21"/>
      <c r="H13" s="21"/>
    </row>
    <row r="14" spans="1:8" ht="14.25" customHeight="1">
      <c r="A14" s="37" t="s">
        <v>92</v>
      </c>
      <c r="B14" s="37" t="s">
        <v>93</v>
      </c>
      <c r="C14" s="43" t="s">
        <v>94</v>
      </c>
      <c r="D14" s="43" t="s">
        <v>95</v>
      </c>
      <c r="E14" s="43" t="s">
        <v>96</v>
      </c>
      <c r="F14" s="43" t="s">
        <v>97</v>
      </c>
      <c r="G14" s="43" t="s">
        <v>98</v>
      </c>
      <c r="H14" s="44" t="s">
        <v>77</v>
      </c>
    </row>
    <row r="15" spans="1:8" ht="14.25" customHeight="1">
      <c r="A15" s="36"/>
      <c r="B15" s="36"/>
      <c r="C15" s="39"/>
      <c r="D15" s="39"/>
      <c r="E15" s="39"/>
      <c r="F15" s="39"/>
      <c r="G15" s="39"/>
      <c r="H15" s="36"/>
    </row>
    <row r="16" spans="1:8" ht="14.25" customHeight="1">
      <c r="A16" s="37" t="s">
        <v>99</v>
      </c>
      <c r="B16" s="37" t="s">
        <v>100</v>
      </c>
      <c r="C16" s="39"/>
      <c r="D16" s="39"/>
      <c r="E16" s="39"/>
      <c r="F16" s="39"/>
      <c r="G16" s="39"/>
      <c r="H16" s="36"/>
    </row>
    <row r="17" spans="1:8" ht="14.25" customHeight="1">
      <c r="A17" s="36"/>
      <c r="B17" s="36" t="s">
        <v>101</v>
      </c>
      <c r="C17" s="198">
        <v>37000</v>
      </c>
      <c r="D17" s="199">
        <v>36000</v>
      </c>
      <c r="E17" s="199">
        <v>35000</v>
      </c>
      <c r="F17" s="199">
        <v>34000</v>
      </c>
      <c r="G17" s="199">
        <v>33000</v>
      </c>
      <c r="H17" s="45" t="s">
        <v>102</v>
      </c>
    </row>
    <row r="18" spans="1:8" ht="14.25" customHeight="1">
      <c r="A18" s="36"/>
      <c r="B18" s="36" t="s">
        <v>103</v>
      </c>
      <c r="C18" s="198">
        <v>390</v>
      </c>
      <c r="D18" s="198">
        <v>390</v>
      </c>
      <c r="E18" s="198">
        <v>390</v>
      </c>
      <c r="F18" s="198">
        <v>390</v>
      </c>
      <c r="G18" s="198">
        <v>390</v>
      </c>
      <c r="H18" s="45" t="s">
        <v>104</v>
      </c>
    </row>
    <row r="19" spans="1:8" ht="14.25" customHeight="1">
      <c r="A19" s="36"/>
      <c r="B19" s="36" t="s">
        <v>105</v>
      </c>
      <c r="C19" s="41">
        <f>C17*C18</f>
        <v>14430000</v>
      </c>
      <c r="D19" s="41">
        <f>D17*D18</f>
        <v>14040000</v>
      </c>
      <c r="E19" s="41">
        <f>E17*E18</f>
        <v>13650000</v>
      </c>
      <c r="F19" s="41">
        <f>F17*F18</f>
        <v>13260000</v>
      </c>
      <c r="G19" s="41">
        <f>G17*G18</f>
        <v>12870000</v>
      </c>
      <c r="H19" s="36" t="s">
        <v>106</v>
      </c>
    </row>
    <row r="20" spans="1:8" ht="14.25" customHeight="1">
      <c r="A20" s="36"/>
      <c r="B20" s="36" t="s">
        <v>107</v>
      </c>
      <c r="C20" s="198">
        <v>0</v>
      </c>
      <c r="D20" s="198">
        <v>0</v>
      </c>
      <c r="E20" s="198">
        <v>0</v>
      </c>
      <c r="F20" s="198">
        <v>0</v>
      </c>
      <c r="G20" s="198">
        <v>0</v>
      </c>
      <c r="H20" s="45" t="s">
        <v>108</v>
      </c>
    </row>
    <row r="21" spans="1:8" ht="14.25" customHeight="1">
      <c r="A21" s="36"/>
      <c r="B21" s="36" t="s">
        <v>109</v>
      </c>
      <c r="C21" s="198">
        <v>0</v>
      </c>
      <c r="D21" s="198">
        <v>0</v>
      </c>
      <c r="E21" s="198">
        <v>0</v>
      </c>
      <c r="F21" s="198">
        <v>0</v>
      </c>
      <c r="G21" s="198">
        <v>0</v>
      </c>
      <c r="H21" s="45" t="s">
        <v>110</v>
      </c>
    </row>
    <row r="22" spans="1:8" ht="14.25" customHeight="1">
      <c r="A22" s="36"/>
      <c r="B22" s="36" t="s">
        <v>111</v>
      </c>
      <c r="C22" s="41">
        <f>C20*C21</f>
        <v>0</v>
      </c>
      <c r="D22" s="41">
        <f>D20*D21</f>
        <v>0</v>
      </c>
      <c r="E22" s="41">
        <f>E20*E21</f>
        <v>0</v>
      </c>
      <c r="F22" s="41">
        <f>F20*F21</f>
        <v>0</v>
      </c>
      <c r="G22" s="41">
        <f>G20*G21</f>
        <v>0</v>
      </c>
      <c r="H22" s="36" t="s">
        <v>106</v>
      </c>
    </row>
    <row r="23" spans="1:8" ht="14.25" customHeight="1">
      <c r="A23" s="36"/>
      <c r="B23" s="36"/>
      <c r="C23" s="39"/>
      <c r="D23" s="39"/>
      <c r="E23" s="39"/>
      <c r="F23" s="39"/>
      <c r="G23" s="39"/>
      <c r="H23" s="36"/>
    </row>
    <row r="24" spans="1:8" ht="14.25" customHeight="1">
      <c r="A24" s="37" t="s">
        <v>112</v>
      </c>
      <c r="B24" s="37" t="s">
        <v>113</v>
      </c>
      <c r="C24" s="39"/>
      <c r="D24" s="39"/>
      <c r="E24" s="39"/>
      <c r="F24" s="39"/>
      <c r="G24" s="39"/>
      <c r="H24" s="36"/>
    </row>
    <row r="25" spans="1:8" ht="28.5" customHeight="1">
      <c r="A25" s="36"/>
      <c r="B25" s="36" t="s">
        <v>114</v>
      </c>
      <c r="C25" s="198">
        <v>148</v>
      </c>
      <c r="D25" s="198">
        <v>148</v>
      </c>
      <c r="E25" s="198">
        <v>148</v>
      </c>
      <c r="F25" s="198">
        <v>148</v>
      </c>
      <c r="G25" s="198">
        <v>148</v>
      </c>
      <c r="H25" s="45" t="s">
        <v>115</v>
      </c>
    </row>
    <row r="26" spans="1:8" ht="14.25" customHeight="1">
      <c r="A26" s="36"/>
      <c r="B26" s="36" t="s">
        <v>116</v>
      </c>
      <c r="C26" s="41">
        <f>C17*C25</f>
        <v>5476000</v>
      </c>
      <c r="D26" s="41">
        <f>D17*D25</f>
        <v>5328000</v>
      </c>
      <c r="E26" s="41">
        <f>E17*E25</f>
        <v>5180000</v>
      </c>
      <c r="F26" s="41">
        <f>F17*F25</f>
        <v>5032000</v>
      </c>
      <c r="G26" s="41">
        <f>G17*G25</f>
        <v>4884000</v>
      </c>
      <c r="H26" s="36" t="s">
        <v>106</v>
      </c>
    </row>
    <row r="27" spans="1:8" ht="28.5" customHeight="1">
      <c r="A27" s="36"/>
      <c r="B27" s="36" t="s">
        <v>117</v>
      </c>
      <c r="C27" s="198">
        <v>42</v>
      </c>
      <c r="D27" s="198">
        <v>42</v>
      </c>
      <c r="E27" s="198">
        <v>42</v>
      </c>
      <c r="F27" s="198">
        <v>42</v>
      </c>
      <c r="G27" s="198">
        <v>42</v>
      </c>
      <c r="H27" s="45" t="s">
        <v>118</v>
      </c>
    </row>
    <row r="28" spans="1:8" ht="14.25" customHeight="1">
      <c r="A28" s="36"/>
      <c r="B28" s="36" t="s">
        <v>119</v>
      </c>
      <c r="C28" s="41">
        <f>C17*C27</f>
        <v>1554000</v>
      </c>
      <c r="D28" s="41">
        <f>D17*D27</f>
        <v>1512000</v>
      </c>
      <c r="E28" s="41">
        <f>E17*E27</f>
        <v>1470000</v>
      </c>
      <c r="F28" s="41">
        <f>F17*F27</f>
        <v>1428000</v>
      </c>
      <c r="G28" s="41">
        <f>G17*G27</f>
        <v>1386000</v>
      </c>
      <c r="H28" s="36" t="s">
        <v>106</v>
      </c>
    </row>
    <row r="29" spans="1:8" ht="14.25" customHeight="1">
      <c r="A29" s="36"/>
      <c r="B29" s="36" t="s">
        <v>120</v>
      </c>
      <c r="C29" s="198">
        <v>18</v>
      </c>
      <c r="D29" s="198">
        <v>18</v>
      </c>
      <c r="E29" s="198">
        <v>18</v>
      </c>
      <c r="F29" s="198">
        <v>18</v>
      </c>
      <c r="G29" s="198">
        <v>18</v>
      </c>
      <c r="H29" s="45" t="s">
        <v>121</v>
      </c>
    </row>
    <row r="30" spans="1:8" ht="14.25" customHeight="1">
      <c r="A30" s="36"/>
      <c r="B30" s="36" t="s">
        <v>122</v>
      </c>
      <c r="C30" s="41">
        <f>C17*C29</f>
        <v>666000</v>
      </c>
      <c r="D30" s="41">
        <f>D17*D29</f>
        <v>648000</v>
      </c>
      <c r="E30" s="41">
        <f>E17*E29</f>
        <v>630000</v>
      </c>
      <c r="F30" s="41">
        <f>F17*F29</f>
        <v>612000</v>
      </c>
      <c r="G30" s="41">
        <f>G17*G29</f>
        <v>594000</v>
      </c>
      <c r="H30" s="36" t="s">
        <v>106</v>
      </c>
    </row>
    <row r="31" spans="1:8" ht="28.5" customHeight="1">
      <c r="A31" s="36"/>
      <c r="B31" s="36" t="s">
        <v>123</v>
      </c>
      <c r="C31" s="198">
        <v>61</v>
      </c>
      <c r="D31" s="198">
        <v>61</v>
      </c>
      <c r="E31" s="198">
        <v>61</v>
      </c>
      <c r="F31" s="198">
        <v>61</v>
      </c>
      <c r="G31" s="198">
        <v>61</v>
      </c>
      <c r="H31" s="45" t="s">
        <v>124</v>
      </c>
    </row>
    <row r="32" spans="1:8" ht="14.25" customHeight="1">
      <c r="A32" s="36"/>
      <c r="B32" s="36" t="s">
        <v>125</v>
      </c>
      <c r="C32" s="41">
        <f>C17*C31</f>
        <v>2257000</v>
      </c>
      <c r="D32" s="41">
        <f>D17*D31</f>
        <v>2196000</v>
      </c>
      <c r="E32" s="41">
        <f>E17*E31</f>
        <v>2135000</v>
      </c>
      <c r="F32" s="41">
        <f>F17*F31</f>
        <v>2074000</v>
      </c>
      <c r="G32" s="41">
        <f>G17*G31</f>
        <v>2013000</v>
      </c>
      <c r="H32" s="36" t="s">
        <v>106</v>
      </c>
    </row>
    <row r="33" spans="1:8" ht="28.5" customHeight="1">
      <c r="A33" s="36"/>
      <c r="B33" s="36" t="s">
        <v>126</v>
      </c>
      <c r="C33" s="199">
        <v>20000</v>
      </c>
      <c r="D33" s="199">
        <v>20000</v>
      </c>
      <c r="E33" s="199">
        <v>20000</v>
      </c>
      <c r="F33" s="199">
        <v>20000</v>
      </c>
      <c r="G33" s="199">
        <v>20000</v>
      </c>
      <c r="H33" s="45" t="s">
        <v>127</v>
      </c>
    </row>
    <row r="34" spans="1:8" ht="14.25" customHeight="1">
      <c r="A34" s="36"/>
      <c r="B34" s="36" t="s">
        <v>128</v>
      </c>
      <c r="C34" s="41">
        <f>C33</f>
        <v>20000</v>
      </c>
      <c r="D34" s="41">
        <f>D33</f>
        <v>20000</v>
      </c>
      <c r="E34" s="41">
        <f>E33</f>
        <v>20000</v>
      </c>
      <c r="F34" s="41">
        <f>F33</f>
        <v>20000</v>
      </c>
      <c r="G34" s="41">
        <f>G33</f>
        <v>20000</v>
      </c>
      <c r="H34" s="36" t="s">
        <v>129</v>
      </c>
    </row>
    <row r="35" spans="1:8" ht="14.25" customHeight="1">
      <c r="A35" s="36"/>
      <c r="B35" s="36" t="s">
        <v>130</v>
      </c>
      <c r="C35" s="199">
        <v>5000</v>
      </c>
      <c r="D35" s="199">
        <v>5000</v>
      </c>
      <c r="E35" s="199">
        <v>5000</v>
      </c>
      <c r="F35" s="199">
        <v>5000</v>
      </c>
      <c r="G35" s="199">
        <v>5000</v>
      </c>
      <c r="H35" s="45" t="s">
        <v>131</v>
      </c>
    </row>
    <row r="36" spans="1:8" ht="14.25" customHeight="1">
      <c r="A36" s="36"/>
      <c r="B36" s="36" t="s">
        <v>132</v>
      </c>
      <c r="C36" s="41">
        <f>C35</f>
        <v>5000</v>
      </c>
      <c r="D36" s="41">
        <f>D35</f>
        <v>5000</v>
      </c>
      <c r="E36" s="41">
        <f>E35</f>
        <v>5000</v>
      </c>
      <c r="F36" s="41">
        <f>F35</f>
        <v>5000</v>
      </c>
      <c r="G36" s="41">
        <f>G35</f>
        <v>5000</v>
      </c>
      <c r="H36" s="36" t="s">
        <v>129</v>
      </c>
    </row>
    <row r="37" spans="1:8" ht="14.25" customHeight="1">
      <c r="A37" s="36"/>
      <c r="B37" s="36"/>
      <c r="C37" s="39"/>
      <c r="D37" s="39"/>
      <c r="E37" s="39"/>
      <c r="F37" s="39"/>
      <c r="G37" s="39"/>
      <c r="H37" s="36"/>
    </row>
    <row r="38" spans="1:8" ht="14.25" customHeight="1">
      <c r="A38" s="37" t="s">
        <v>133</v>
      </c>
      <c r="B38" s="37" t="s">
        <v>134</v>
      </c>
      <c r="C38" s="39"/>
      <c r="D38" s="39"/>
      <c r="E38" s="39"/>
      <c r="F38" s="39"/>
      <c r="G38" s="39"/>
      <c r="H38" s="36"/>
    </row>
    <row r="39" spans="1:8" ht="14.25" customHeight="1">
      <c r="A39" s="36"/>
      <c r="B39" s="36" t="s">
        <v>135</v>
      </c>
      <c r="C39" s="198">
        <v>0</v>
      </c>
      <c r="D39" s="198">
        <v>0</v>
      </c>
      <c r="E39" s="198">
        <v>0</v>
      </c>
      <c r="F39" s="198">
        <v>0</v>
      </c>
      <c r="G39" s="198">
        <v>0</v>
      </c>
      <c r="H39" s="45" t="s">
        <v>136</v>
      </c>
    </row>
    <row r="40" spans="1:8" ht="28.5" customHeight="1">
      <c r="A40" s="36"/>
      <c r="B40" s="36" t="s">
        <v>137</v>
      </c>
      <c r="C40" s="198">
        <v>0</v>
      </c>
      <c r="D40" s="198">
        <v>0</v>
      </c>
      <c r="E40" s="198">
        <v>0</v>
      </c>
      <c r="F40" s="198">
        <v>0</v>
      </c>
      <c r="G40" s="198">
        <v>0</v>
      </c>
      <c r="H40" s="45" t="s">
        <v>138</v>
      </c>
    </row>
    <row r="41" spans="1:8" ht="14.25" customHeight="1">
      <c r="A41" s="36"/>
      <c r="B41" s="36" t="s">
        <v>139</v>
      </c>
      <c r="C41" s="198">
        <v>0</v>
      </c>
      <c r="D41" s="198">
        <v>0</v>
      </c>
      <c r="E41" s="198">
        <v>0</v>
      </c>
      <c r="F41" s="198">
        <v>0</v>
      </c>
      <c r="G41" s="198">
        <v>0</v>
      </c>
      <c r="H41" s="45" t="s">
        <v>140</v>
      </c>
    </row>
    <row r="42" spans="1:8" ht="14.25" customHeight="1">
      <c r="A42" s="36"/>
      <c r="B42" s="36"/>
      <c r="C42" s="39"/>
      <c r="D42" s="39"/>
      <c r="E42" s="39"/>
      <c r="F42" s="39"/>
      <c r="G42" s="39"/>
      <c r="H42" s="36"/>
    </row>
    <row r="43" spans="1:8" ht="14.25" customHeight="1">
      <c r="A43" s="46" t="s">
        <v>141</v>
      </c>
      <c r="B43" s="46" t="s">
        <v>142</v>
      </c>
      <c r="C43" s="47"/>
      <c r="D43" s="47"/>
      <c r="E43" s="47"/>
      <c r="F43" s="47"/>
      <c r="G43" s="47"/>
      <c r="H43" s="36"/>
    </row>
    <row r="44" spans="1:8" ht="28.5" customHeight="1">
      <c r="A44" s="36"/>
      <c r="B44" s="36" t="s">
        <v>143</v>
      </c>
      <c r="C44" s="198">
        <v>7</v>
      </c>
      <c r="D44" s="198">
        <v>7</v>
      </c>
      <c r="E44" s="198">
        <v>7</v>
      </c>
      <c r="F44" s="198">
        <v>7</v>
      </c>
      <c r="G44" s="198">
        <v>7</v>
      </c>
      <c r="H44" s="45" t="s">
        <v>144</v>
      </c>
    </row>
    <row r="45" spans="1:8" ht="28.5" customHeight="1">
      <c r="A45" s="36"/>
      <c r="B45" s="36" t="s">
        <v>145</v>
      </c>
      <c r="C45" s="198">
        <v>0</v>
      </c>
      <c r="D45" s="198">
        <v>0</v>
      </c>
      <c r="E45" s="198">
        <v>0</v>
      </c>
      <c r="F45" s="198">
        <v>0</v>
      </c>
      <c r="G45" s="198">
        <v>0</v>
      </c>
      <c r="H45" s="45" t="s">
        <v>146</v>
      </c>
    </row>
    <row r="46" spans="1:8" ht="28.5" customHeight="1">
      <c r="A46" s="36"/>
      <c r="B46" s="36" t="s">
        <v>147</v>
      </c>
      <c r="C46" s="198">
        <v>0</v>
      </c>
      <c r="D46" s="198">
        <v>0</v>
      </c>
      <c r="E46" s="198">
        <v>0</v>
      </c>
      <c r="F46" s="198">
        <v>0</v>
      </c>
      <c r="G46" s="198">
        <v>0</v>
      </c>
      <c r="H46" s="45" t="s">
        <v>148</v>
      </c>
    </row>
    <row r="47" spans="1:8" ht="14.25" customHeight="1">
      <c r="A47" s="36"/>
      <c r="B47" s="36" t="s">
        <v>149</v>
      </c>
      <c r="C47" s="198">
        <v>0</v>
      </c>
      <c r="D47" s="198">
        <v>0</v>
      </c>
      <c r="E47" s="198">
        <v>0</v>
      </c>
      <c r="F47" s="198">
        <v>0</v>
      </c>
      <c r="G47" s="198">
        <v>0</v>
      </c>
      <c r="H47" s="45" t="s">
        <v>150</v>
      </c>
    </row>
    <row r="48" spans="1:8" ht="14.25" customHeight="1">
      <c r="A48" s="36"/>
      <c r="B48" s="36" t="s">
        <v>151</v>
      </c>
      <c r="C48" s="198">
        <v>1</v>
      </c>
      <c r="D48" s="198">
        <v>1</v>
      </c>
      <c r="E48" s="198">
        <v>1</v>
      </c>
      <c r="F48" s="198">
        <v>1</v>
      </c>
      <c r="G48" s="198">
        <v>1</v>
      </c>
      <c r="H48" s="45" t="s">
        <v>152</v>
      </c>
    </row>
    <row r="49" spans="1:8" ht="14.25" customHeight="1">
      <c r="A49" s="48" t="s">
        <v>153</v>
      </c>
      <c r="B49" s="21"/>
      <c r="C49" s="21"/>
      <c r="D49" s="21"/>
      <c r="E49" s="21"/>
      <c r="F49" s="21"/>
      <c r="G49" s="21"/>
      <c r="H49" s="21"/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"/>
  <sheetViews>
    <sheetView showGridLines="0" zoomScaleNormal="100" workbookViewId="0">
      <selection sqref="A1:H1"/>
    </sheetView>
  </sheetViews>
  <sheetFormatPr defaultColWidth="8.54296875" defaultRowHeight="14.5"/>
  <cols>
    <col min="1" max="1" width="28" customWidth="1"/>
    <col min="2" max="2" width="46" customWidth="1"/>
    <col min="3" max="6" width="18" customWidth="1"/>
    <col min="7" max="7" width="22" customWidth="1"/>
    <col min="8" max="8" width="60" customWidth="1"/>
  </cols>
  <sheetData>
    <row r="1" spans="1:8" ht="66" customHeight="1">
      <c r="A1" s="285" t="s">
        <v>154</v>
      </c>
      <c r="B1" s="285"/>
      <c r="C1" s="285"/>
      <c r="D1" s="285"/>
      <c r="E1" s="285"/>
      <c r="F1" s="285"/>
      <c r="G1" s="285"/>
      <c r="H1" s="285"/>
    </row>
    <row r="2" spans="1:8" ht="19.5" customHeight="1">
      <c r="A2" s="49" t="s">
        <v>155</v>
      </c>
      <c r="B2" s="30"/>
      <c r="C2" s="30"/>
      <c r="D2" s="30"/>
      <c r="E2" s="30"/>
      <c r="F2" s="30"/>
      <c r="G2" s="30"/>
      <c r="H2" s="30"/>
    </row>
    <row r="3" spans="1:8" ht="19.5" customHeight="1">
      <c r="A3" s="30"/>
      <c r="B3" s="30" t="s">
        <v>71</v>
      </c>
      <c r="C3" s="50" t="s">
        <v>72</v>
      </c>
      <c r="D3" s="50" t="s">
        <v>73</v>
      </c>
      <c r="E3" s="50" t="s">
        <v>74</v>
      </c>
      <c r="F3" s="50" t="s">
        <v>75</v>
      </c>
      <c r="G3" s="50" t="s">
        <v>76</v>
      </c>
      <c r="H3" s="30" t="s">
        <v>77</v>
      </c>
    </row>
    <row r="4" spans="1:8" ht="19.5" customHeight="1">
      <c r="A4" s="51" t="s">
        <v>78</v>
      </c>
      <c r="B4" s="30"/>
      <c r="C4" s="30"/>
      <c r="D4" s="30"/>
      <c r="E4" s="30"/>
      <c r="F4" s="30"/>
      <c r="G4" s="30"/>
      <c r="H4" s="30"/>
    </row>
    <row r="5" spans="1:8" ht="19.5" customHeight="1">
      <c r="A5" s="30"/>
      <c r="B5" s="30" t="s">
        <v>79</v>
      </c>
      <c r="C5" s="52">
        <f>SUM(C19,C22,C24,C26)</f>
        <v>36500</v>
      </c>
      <c r="D5" s="52">
        <f>SUM(D19,D22,D24,D26)</f>
        <v>87600</v>
      </c>
      <c r="E5" s="52">
        <f>SUM(E19,E22,E24,E26)</f>
        <v>160600</v>
      </c>
      <c r="F5" s="52">
        <f>SUM(F19,F22,F24,F26)</f>
        <v>292000</v>
      </c>
      <c r="G5" s="52">
        <f>SUM(G19,G22,G24,G26)</f>
        <v>401500</v>
      </c>
      <c r="H5" s="30"/>
    </row>
    <row r="6" spans="1:8" ht="19.5" customHeight="1">
      <c r="A6" s="30"/>
      <c r="B6" s="30" t="s">
        <v>81</v>
      </c>
      <c r="C6" s="52">
        <f>SUM(C30,C32,C34,C37,C38)</f>
        <v>44500</v>
      </c>
      <c r="D6" s="52">
        <f>SUM(D30,D32,D34,D37,D38)</f>
        <v>98600</v>
      </c>
      <c r="E6" s="52">
        <f>SUM(E30,E32,E34,E37,E38)</f>
        <v>167100</v>
      </c>
      <c r="F6" s="52">
        <f>SUM(F30,F32,F34,F37,F38)</f>
        <v>274000</v>
      </c>
      <c r="G6" s="52">
        <f>SUM(G30,G32,G34,G37,G38)</f>
        <v>366500</v>
      </c>
      <c r="H6" s="30"/>
    </row>
    <row r="7" spans="1:8" ht="19.5" customHeight="1">
      <c r="A7" s="30"/>
      <c r="B7" s="30" t="s">
        <v>83</v>
      </c>
      <c r="C7" s="52">
        <f>C5-C6</f>
        <v>-8000</v>
      </c>
      <c r="D7" s="52">
        <f>D5-D6</f>
        <v>-11000</v>
      </c>
      <c r="E7" s="52">
        <f>E5-E6</f>
        <v>-6500</v>
      </c>
      <c r="F7" s="52">
        <f>F5-F6</f>
        <v>18000</v>
      </c>
      <c r="G7" s="52">
        <f>G5-G6</f>
        <v>35000</v>
      </c>
      <c r="H7" s="30"/>
    </row>
    <row r="8" spans="1:8" ht="19.5" customHeight="1">
      <c r="A8" s="30"/>
      <c r="B8" s="30" t="s">
        <v>85</v>
      </c>
      <c r="C8" s="52">
        <f>SUM(C41:C43)</f>
        <v>50000</v>
      </c>
      <c r="D8" s="52">
        <f>SUM(D41:D43)</f>
        <v>0</v>
      </c>
      <c r="E8" s="52">
        <f>SUM(E41:E43)</f>
        <v>0</v>
      </c>
      <c r="F8" s="52">
        <f>SUM(F41:F43)</f>
        <v>0</v>
      </c>
      <c r="G8" s="52">
        <f>SUM(G41:G43)</f>
        <v>0</v>
      </c>
      <c r="H8" s="30"/>
    </row>
    <row r="9" spans="1:8" ht="19.5" customHeight="1">
      <c r="A9" s="30"/>
      <c r="B9" s="30" t="s">
        <v>87</v>
      </c>
      <c r="C9" s="52">
        <f>C7-C8</f>
        <v>-58000</v>
      </c>
      <c r="D9" s="52">
        <f>D7-D8</f>
        <v>-11000</v>
      </c>
      <c r="E9" s="52">
        <f>E7-E8</f>
        <v>-6500</v>
      </c>
      <c r="F9" s="52">
        <f>F7-F8</f>
        <v>18000</v>
      </c>
      <c r="G9" s="52">
        <f>G7-G8</f>
        <v>35000</v>
      </c>
      <c r="H9" s="30"/>
    </row>
    <row r="10" spans="1:8" ht="19.5" customHeight="1">
      <c r="A10" s="30"/>
      <c r="B10" s="30" t="s">
        <v>89</v>
      </c>
      <c r="C10" s="52">
        <f>SUM($C$9:C9)</f>
        <v>-58000</v>
      </c>
      <c r="D10" s="52">
        <f>SUM($C$9:D9)</f>
        <v>-69000</v>
      </c>
      <c r="E10" s="52">
        <f>SUM($C$9:E9)</f>
        <v>-75500</v>
      </c>
      <c r="F10" s="52">
        <f>SUM($C$9:F9)</f>
        <v>-57500</v>
      </c>
      <c r="G10" s="52">
        <f>SUM($C$9:G9)</f>
        <v>-22500</v>
      </c>
      <c r="H10" s="30"/>
    </row>
    <row r="11" spans="1:8" ht="19.5" customHeight="1">
      <c r="A11" s="30"/>
      <c r="B11" s="30" t="s">
        <v>91</v>
      </c>
      <c r="C11" s="53" t="str">
        <f>IF(AND(C5=0,D5=0,E5=0,F5=0,G5=0),"— (not filled)",IF(G10&lt;0,"&gt;5 years",IF(C10&gt;=0,"Year 1",IF(D10&gt;=0,"Year 2",IF(E10&gt;=0,"Year 3",IF(F10&gt;=0,"Year 4","Year 5"))))))</f>
        <v>&gt;5 years</v>
      </c>
      <c r="D11" s="30"/>
      <c r="E11" s="30"/>
      <c r="F11" s="30"/>
      <c r="G11" s="30"/>
      <c r="H11" s="30"/>
    </row>
    <row r="12" spans="1:8" ht="19.5" customHeight="1">
      <c r="A12" s="30"/>
      <c r="B12" s="30"/>
      <c r="C12" s="30"/>
      <c r="D12" s="30"/>
      <c r="E12" s="30"/>
      <c r="F12" s="30"/>
      <c r="G12" s="30"/>
      <c r="H12" s="30"/>
    </row>
    <row r="13" spans="1:8" ht="19.5" customHeight="1">
      <c r="A13" s="30"/>
      <c r="B13" s="30"/>
      <c r="C13" s="30"/>
      <c r="D13" s="30"/>
      <c r="E13" s="30"/>
      <c r="F13" s="30"/>
      <c r="G13" s="30"/>
      <c r="H13" s="30"/>
    </row>
    <row r="14" spans="1:8" ht="19.5" customHeight="1">
      <c r="A14" s="54" t="s">
        <v>92</v>
      </c>
      <c r="B14" s="54" t="s">
        <v>93</v>
      </c>
      <c r="C14" s="54" t="s">
        <v>94</v>
      </c>
      <c r="D14" s="54" t="s">
        <v>95</v>
      </c>
      <c r="E14" s="54" t="s">
        <v>96</v>
      </c>
      <c r="F14" s="54" t="s">
        <v>97</v>
      </c>
      <c r="G14" s="54" t="s">
        <v>98</v>
      </c>
      <c r="H14" s="54" t="s">
        <v>77</v>
      </c>
    </row>
    <row r="15" spans="1:8" ht="19.5" customHeight="1">
      <c r="A15" s="30"/>
      <c r="B15" s="30"/>
      <c r="C15" s="30"/>
      <c r="D15" s="30"/>
      <c r="E15" s="30"/>
      <c r="F15" s="30"/>
      <c r="G15" s="30"/>
      <c r="H15" s="30"/>
    </row>
    <row r="16" spans="1:8" ht="19.5" customHeight="1">
      <c r="A16" s="55" t="s">
        <v>99</v>
      </c>
      <c r="B16" s="287" t="s">
        <v>156</v>
      </c>
      <c r="C16" s="287"/>
      <c r="D16" s="287"/>
      <c r="E16" s="287"/>
      <c r="F16" s="287"/>
      <c r="G16" s="287"/>
      <c r="H16" s="30"/>
    </row>
    <row r="17" spans="1:8" ht="19.5" customHeight="1">
      <c r="A17" s="30"/>
      <c r="B17" s="30" t="s">
        <v>157</v>
      </c>
      <c r="C17" s="200">
        <v>500</v>
      </c>
      <c r="D17" s="200">
        <v>1200</v>
      </c>
      <c r="E17" s="200">
        <v>2200</v>
      </c>
      <c r="F17" s="201">
        <v>4000</v>
      </c>
      <c r="G17" s="200">
        <v>5500</v>
      </c>
      <c r="H17" s="56" t="s">
        <v>158</v>
      </c>
    </row>
    <row r="18" spans="1:8" ht="19.5" customHeight="1">
      <c r="A18" s="30"/>
      <c r="B18" s="30" t="s">
        <v>159</v>
      </c>
      <c r="C18" s="201">
        <v>65</v>
      </c>
      <c r="D18" s="201">
        <v>65</v>
      </c>
      <c r="E18" s="201">
        <v>65</v>
      </c>
      <c r="F18" s="201">
        <v>65</v>
      </c>
      <c r="G18" s="201">
        <v>65</v>
      </c>
      <c r="H18" s="56" t="s">
        <v>160</v>
      </c>
    </row>
    <row r="19" spans="1:8" ht="19.5" customHeight="1">
      <c r="A19" s="30"/>
      <c r="B19" s="30" t="s">
        <v>161</v>
      </c>
      <c r="C19" s="57">
        <f>C17*C18</f>
        <v>32500</v>
      </c>
      <c r="D19" s="57">
        <f>D17*D18</f>
        <v>78000</v>
      </c>
      <c r="E19" s="57">
        <f>E17*E18</f>
        <v>143000</v>
      </c>
      <c r="F19" s="57">
        <f>F17*F18</f>
        <v>260000</v>
      </c>
      <c r="G19" s="57">
        <f>G17*G18</f>
        <v>357500</v>
      </c>
      <c r="H19" s="30"/>
    </row>
    <row r="20" spans="1:8" ht="19.5" customHeight="1">
      <c r="A20" s="30"/>
      <c r="B20" s="30" t="s">
        <v>162</v>
      </c>
      <c r="C20" s="200">
        <v>0</v>
      </c>
      <c r="D20" s="200">
        <v>0</v>
      </c>
      <c r="E20" s="200">
        <v>0</v>
      </c>
      <c r="F20" s="200">
        <v>0</v>
      </c>
      <c r="G20" s="200">
        <v>0</v>
      </c>
      <c r="H20" s="56" t="s">
        <v>163</v>
      </c>
    </row>
    <row r="21" spans="1:8" ht="19.5" customHeight="1">
      <c r="A21" s="30"/>
      <c r="B21" s="30" t="s">
        <v>164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58" t="s">
        <v>165</v>
      </c>
    </row>
    <row r="22" spans="1:8" ht="19.5" customHeight="1">
      <c r="A22" s="30"/>
      <c r="B22" s="30" t="s">
        <v>166</v>
      </c>
      <c r="C22" s="57">
        <f>C20*C21</f>
        <v>0</v>
      </c>
      <c r="D22" s="57">
        <f>D20*D21</f>
        <v>0</v>
      </c>
      <c r="E22" s="57">
        <f>E20*E21</f>
        <v>0</v>
      </c>
      <c r="F22" s="57">
        <f>F20*F21</f>
        <v>0</v>
      </c>
      <c r="G22" s="57">
        <f>G20*G21</f>
        <v>0</v>
      </c>
      <c r="H22" s="30"/>
    </row>
    <row r="23" spans="1:8" ht="19.5" customHeight="1">
      <c r="A23" s="30"/>
      <c r="B23" s="30" t="s">
        <v>167</v>
      </c>
      <c r="C23" s="200">
        <v>8</v>
      </c>
      <c r="D23" s="200">
        <v>8</v>
      </c>
      <c r="E23" s="200">
        <v>8</v>
      </c>
      <c r="F23" s="200">
        <v>8</v>
      </c>
      <c r="G23" s="200">
        <v>8</v>
      </c>
      <c r="H23" s="56" t="s">
        <v>168</v>
      </c>
    </row>
    <row r="24" spans="1:8" ht="19.5" customHeight="1">
      <c r="A24" s="30"/>
      <c r="B24" s="30" t="s">
        <v>169</v>
      </c>
      <c r="C24" s="57">
        <f>C17*C23</f>
        <v>4000</v>
      </c>
      <c r="D24" s="57">
        <f>D17*D23</f>
        <v>9600</v>
      </c>
      <c r="E24" s="57">
        <f>E17*E23</f>
        <v>17600</v>
      </c>
      <c r="F24" s="57">
        <f>F17*F23</f>
        <v>32000</v>
      </c>
      <c r="G24" s="57">
        <f>G17*G23</f>
        <v>44000</v>
      </c>
      <c r="H24" s="30"/>
    </row>
    <row r="25" spans="1:8" ht="19.5" customHeight="1">
      <c r="A25" s="30"/>
      <c r="B25" s="30" t="s">
        <v>170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58" t="s">
        <v>171</v>
      </c>
    </row>
    <row r="26" spans="1:8" ht="19.5" customHeight="1">
      <c r="A26" s="30"/>
      <c r="B26" s="30" t="s">
        <v>172</v>
      </c>
      <c r="C26" s="57">
        <f>C20*C25</f>
        <v>0</v>
      </c>
      <c r="D26" s="57">
        <f>D20*D25</f>
        <v>0</v>
      </c>
      <c r="E26" s="57">
        <f>E20*E25</f>
        <v>0</v>
      </c>
      <c r="F26" s="57">
        <f>F20*F25</f>
        <v>0</v>
      </c>
      <c r="G26" s="57">
        <f>G20*G25</f>
        <v>0</v>
      </c>
      <c r="H26" s="30"/>
    </row>
    <row r="27" spans="1:8" ht="19.5" customHeight="1">
      <c r="A27" s="30"/>
      <c r="B27" s="30"/>
      <c r="C27" s="30"/>
      <c r="D27" s="30"/>
      <c r="E27" s="30"/>
      <c r="F27" s="30"/>
      <c r="G27" s="30"/>
      <c r="H27" s="30"/>
    </row>
    <row r="28" spans="1:8" ht="19.5" customHeight="1">
      <c r="A28" s="55" t="s">
        <v>112</v>
      </c>
      <c r="B28" s="287" t="s">
        <v>173</v>
      </c>
      <c r="C28" s="287"/>
      <c r="D28" s="287"/>
      <c r="E28" s="287"/>
      <c r="F28" s="287"/>
      <c r="G28" s="287"/>
      <c r="H28" s="30"/>
    </row>
    <row r="29" spans="1:8" ht="19.5" customHeight="1">
      <c r="A29" s="30"/>
      <c r="B29" s="30" t="s">
        <v>174</v>
      </c>
      <c r="C29" s="200">
        <v>22</v>
      </c>
      <c r="D29" s="200">
        <v>22</v>
      </c>
      <c r="E29" s="200">
        <v>22</v>
      </c>
      <c r="F29" s="200">
        <v>22</v>
      </c>
      <c r="G29" s="200">
        <v>22</v>
      </c>
      <c r="H29" s="56" t="s">
        <v>175</v>
      </c>
    </row>
    <row r="30" spans="1:8" ht="19.5" customHeight="1">
      <c r="A30" s="30"/>
      <c r="B30" s="30" t="s">
        <v>176</v>
      </c>
      <c r="C30" s="57">
        <f>C17*C29</f>
        <v>11000</v>
      </c>
      <c r="D30" s="57">
        <f>D17*D29</f>
        <v>26400</v>
      </c>
      <c r="E30" s="57">
        <f>E17*E29</f>
        <v>48400</v>
      </c>
      <c r="F30" s="57">
        <f>F17*F29</f>
        <v>88000</v>
      </c>
      <c r="G30" s="57">
        <f>G17*G29</f>
        <v>121000</v>
      </c>
      <c r="H30" s="30" t="s">
        <v>177</v>
      </c>
    </row>
    <row r="31" spans="1:8" ht="19.5" customHeight="1">
      <c r="A31" s="30"/>
      <c r="B31" s="30" t="s">
        <v>178</v>
      </c>
      <c r="C31" s="201">
        <v>0</v>
      </c>
      <c r="D31" s="201">
        <v>0</v>
      </c>
      <c r="E31" s="201">
        <v>0</v>
      </c>
      <c r="F31" s="201">
        <v>0</v>
      </c>
      <c r="G31" s="201">
        <v>0</v>
      </c>
      <c r="H31" s="56" t="s">
        <v>179</v>
      </c>
    </row>
    <row r="32" spans="1:8" ht="19.5" customHeight="1">
      <c r="A32" s="30"/>
      <c r="B32" s="30" t="s">
        <v>180</v>
      </c>
      <c r="C32" s="57">
        <f>C20*C31</f>
        <v>0</v>
      </c>
      <c r="D32" s="57">
        <f>D20*D31</f>
        <v>0</v>
      </c>
      <c r="E32" s="57">
        <f>E20*E31</f>
        <v>0</v>
      </c>
      <c r="F32" s="57">
        <f>F20*F31</f>
        <v>0</v>
      </c>
      <c r="G32" s="57">
        <f>G20*G31</f>
        <v>0</v>
      </c>
      <c r="H32" s="30" t="s">
        <v>177</v>
      </c>
    </row>
    <row r="33" spans="1:8" ht="19.5" customHeight="1">
      <c r="A33" s="30"/>
      <c r="B33" s="30" t="s">
        <v>181</v>
      </c>
      <c r="C33" s="200">
        <v>15</v>
      </c>
      <c r="D33" s="200">
        <v>15</v>
      </c>
      <c r="E33" s="200">
        <v>15</v>
      </c>
      <c r="F33" s="200">
        <v>15</v>
      </c>
      <c r="G33" s="200">
        <v>15</v>
      </c>
      <c r="H33" s="56" t="s">
        <v>182</v>
      </c>
    </row>
    <row r="34" spans="1:8" ht="19.5" customHeight="1">
      <c r="A34" s="30"/>
      <c r="B34" s="30" t="s">
        <v>183</v>
      </c>
      <c r="C34" s="57">
        <f>C17*C33</f>
        <v>7500</v>
      </c>
      <c r="D34" s="57">
        <f>D17*D33</f>
        <v>18000</v>
      </c>
      <c r="E34" s="57">
        <f>E17*E33</f>
        <v>33000</v>
      </c>
      <c r="F34" s="57">
        <f>F17*F33</f>
        <v>60000</v>
      </c>
      <c r="G34" s="57">
        <f>G17*G33</f>
        <v>82500</v>
      </c>
      <c r="H34" s="30" t="s">
        <v>177</v>
      </c>
    </row>
    <row r="35" spans="1:8" ht="19.5" customHeight="1">
      <c r="A35" s="30"/>
      <c r="B35" s="30" t="s">
        <v>184</v>
      </c>
      <c r="C35" s="202">
        <v>1</v>
      </c>
      <c r="D35" s="202">
        <v>1</v>
      </c>
      <c r="E35" s="202">
        <v>1</v>
      </c>
      <c r="F35" s="202">
        <v>1</v>
      </c>
      <c r="G35" s="202">
        <v>1</v>
      </c>
      <c r="H35" s="56" t="s">
        <v>185</v>
      </c>
    </row>
    <row r="36" spans="1:8" ht="19.5" customHeight="1">
      <c r="A36" s="30"/>
      <c r="B36" s="30" t="s">
        <v>186</v>
      </c>
      <c r="C36" s="200">
        <v>11</v>
      </c>
      <c r="D36" s="200">
        <v>11</v>
      </c>
      <c r="E36" s="200">
        <v>11</v>
      </c>
      <c r="F36" s="200">
        <v>11</v>
      </c>
      <c r="G36" s="200">
        <v>11</v>
      </c>
      <c r="H36" s="56" t="s">
        <v>187</v>
      </c>
    </row>
    <row r="37" spans="1:8" ht="19.5" customHeight="1">
      <c r="A37" s="30"/>
      <c r="B37" s="30" t="s">
        <v>188</v>
      </c>
      <c r="C37" s="57">
        <f>C17*C35*C36</f>
        <v>5500</v>
      </c>
      <c r="D37" s="57">
        <f>D17*D35*D36</f>
        <v>13200</v>
      </c>
      <c r="E37" s="57">
        <f>E17*E35*E36</f>
        <v>24200</v>
      </c>
      <c r="F37" s="57">
        <f>F17*F35*F36</f>
        <v>44000</v>
      </c>
      <c r="G37" s="57">
        <f>G17*G35*G36</f>
        <v>60500</v>
      </c>
      <c r="H37" s="30" t="s">
        <v>177</v>
      </c>
    </row>
    <row r="38" spans="1:8" ht="19.5" customHeight="1">
      <c r="A38" s="30"/>
      <c r="B38" s="30" t="s">
        <v>189</v>
      </c>
      <c r="C38" s="200">
        <v>20500</v>
      </c>
      <c r="D38" s="200">
        <v>41000</v>
      </c>
      <c r="E38" s="200">
        <v>61500</v>
      </c>
      <c r="F38" s="201">
        <v>82000</v>
      </c>
      <c r="G38" s="200">
        <v>102500</v>
      </c>
      <c r="H38" s="56" t="s">
        <v>190</v>
      </c>
    </row>
    <row r="39" spans="1:8" ht="19.5" customHeight="1">
      <c r="A39" s="30"/>
      <c r="B39" s="30"/>
      <c r="C39" s="30"/>
      <c r="D39" s="30"/>
      <c r="E39" s="30"/>
      <c r="F39" s="30"/>
      <c r="G39" s="30"/>
      <c r="H39" s="30"/>
    </row>
    <row r="40" spans="1:8" ht="19.5" customHeight="1">
      <c r="A40" s="55" t="s">
        <v>133</v>
      </c>
      <c r="B40" s="287" t="s">
        <v>191</v>
      </c>
      <c r="C40" s="287"/>
      <c r="D40" s="287"/>
      <c r="E40" s="287"/>
      <c r="F40" s="287"/>
      <c r="G40" s="287"/>
      <c r="H40" s="30"/>
    </row>
    <row r="41" spans="1:8" ht="19.5" customHeight="1">
      <c r="A41" s="30"/>
      <c r="B41" s="30" t="s">
        <v>192</v>
      </c>
      <c r="C41" s="200">
        <v>15000</v>
      </c>
      <c r="D41" s="200">
        <v>0</v>
      </c>
      <c r="E41" s="200">
        <v>0</v>
      </c>
      <c r="F41" s="200">
        <v>0</v>
      </c>
      <c r="G41" s="200">
        <v>0</v>
      </c>
      <c r="H41" s="56" t="s">
        <v>193</v>
      </c>
    </row>
    <row r="42" spans="1:8" ht="19.5" customHeight="1">
      <c r="A42" s="30"/>
      <c r="B42" s="30" t="s">
        <v>194</v>
      </c>
      <c r="C42" s="200">
        <v>25000</v>
      </c>
      <c r="D42" s="200">
        <v>0</v>
      </c>
      <c r="E42" s="200">
        <v>0</v>
      </c>
      <c r="F42" s="200">
        <v>0</v>
      </c>
      <c r="G42" s="200">
        <v>0</v>
      </c>
      <c r="H42" s="56" t="s">
        <v>195</v>
      </c>
    </row>
    <row r="43" spans="1:8" ht="19.5" customHeight="1">
      <c r="A43" s="30"/>
      <c r="B43" s="30" t="s">
        <v>196</v>
      </c>
      <c r="C43" s="200">
        <v>10000</v>
      </c>
      <c r="D43" s="200">
        <v>0</v>
      </c>
      <c r="E43" s="200">
        <v>0</v>
      </c>
      <c r="F43" s="200">
        <v>0</v>
      </c>
      <c r="G43" s="200">
        <v>0</v>
      </c>
      <c r="H43" s="56" t="s">
        <v>197</v>
      </c>
    </row>
    <row r="44" spans="1:8" ht="19.5" customHeight="1">
      <c r="A44" s="30"/>
      <c r="B44" s="30"/>
      <c r="C44" s="30"/>
      <c r="D44" s="30"/>
      <c r="E44" s="30"/>
      <c r="F44" s="30"/>
      <c r="G44" s="30"/>
      <c r="H44" s="30"/>
    </row>
    <row r="45" spans="1:8" ht="19.5" customHeight="1">
      <c r="A45" s="60" t="s">
        <v>198</v>
      </c>
      <c r="B45" s="288" t="s">
        <v>199</v>
      </c>
      <c r="C45" s="288"/>
      <c r="D45" s="288"/>
      <c r="E45" s="288"/>
      <c r="F45" s="288"/>
      <c r="G45" s="288"/>
      <c r="H45" s="30"/>
    </row>
    <row r="46" spans="1:8" ht="19.5" customHeight="1">
      <c r="A46" s="30"/>
      <c r="B46" s="30" t="s">
        <v>200</v>
      </c>
      <c r="C46" s="59">
        <v>0.8</v>
      </c>
      <c r="D46" s="59">
        <v>0.8</v>
      </c>
      <c r="E46" s="59">
        <v>0.8</v>
      </c>
      <c r="F46" s="59">
        <v>0.8</v>
      </c>
      <c r="G46" s="59">
        <v>0.8</v>
      </c>
      <c r="H46" s="56" t="s">
        <v>201</v>
      </c>
    </row>
    <row r="47" spans="1:8" ht="19.5" customHeight="1">
      <c r="A47" s="30"/>
      <c r="B47" s="30" t="s">
        <v>202</v>
      </c>
      <c r="C47" s="59">
        <v>0.61</v>
      </c>
      <c r="D47" s="59">
        <v>0.61</v>
      </c>
      <c r="E47" s="59">
        <v>0.61</v>
      </c>
      <c r="F47" s="59">
        <v>0.61</v>
      </c>
      <c r="G47" s="59">
        <v>0.61</v>
      </c>
      <c r="H47" s="61" t="s">
        <v>203</v>
      </c>
    </row>
    <row r="48" spans="1:8" ht="19.5" customHeight="1">
      <c r="A48" s="30"/>
      <c r="B48" s="30" t="s">
        <v>204</v>
      </c>
      <c r="C48" s="62">
        <v>0.75</v>
      </c>
      <c r="D48" s="62">
        <v>0.75</v>
      </c>
      <c r="E48" s="62">
        <v>0.75</v>
      </c>
      <c r="F48" s="62">
        <v>0.75</v>
      </c>
      <c r="G48" s="62">
        <v>0.75</v>
      </c>
      <c r="H48" s="56" t="s">
        <v>205</v>
      </c>
    </row>
    <row r="49" spans="1:8" ht="14.25" customHeight="1">
      <c r="A49" s="6" t="s">
        <v>153</v>
      </c>
    </row>
    <row r="50" spans="1:8" ht="18" customHeight="1">
      <c r="A50" s="212" t="s">
        <v>206</v>
      </c>
      <c r="B50" s="212"/>
      <c r="C50" s="212"/>
      <c r="D50" s="212"/>
      <c r="E50" s="212"/>
      <c r="F50" s="212"/>
      <c r="G50" s="212"/>
      <c r="H50" s="212"/>
    </row>
    <row r="51" spans="1:8" ht="15" customHeight="1">
      <c r="B51" s="63" t="s">
        <v>207</v>
      </c>
      <c r="C51" s="64">
        <f>ROUND(IF(C46=0,50,MIN(100,C46*100))*0.4+IF(C47=0,50,MIN(100,C47*100))*0.4+IF(C48=0,50,MAX(0,MIN(100,100-(C48-0.5)*20)))*0.2,0)</f>
        <v>75</v>
      </c>
      <c r="H51" s="65" t="s">
        <v>208</v>
      </c>
    </row>
    <row r="52" spans="1:8" ht="14.25" customHeight="1">
      <c r="B52" s="63" t="s">
        <v>209</v>
      </c>
      <c r="C52" s="286" t="str">
        <f>IF($C$51&gt;=65,"🟢 High — projections are likely achievable",IF($C$51&gt;=40,"🟡 Medium — projections require market validation","🔴 Low — projections are aspirational; high uncertainty"))</f>
        <v>🟢 High — projections are likely achievable</v>
      </c>
      <c r="D52" s="286"/>
      <c r="E52" s="286"/>
      <c r="F52" s="286"/>
      <c r="G52" s="286"/>
    </row>
    <row r="53" spans="1:8" ht="14.25" customHeight="1">
      <c r="B53" s="66" t="s">
        <v>210</v>
      </c>
      <c r="C53" s="67">
        <f>IF($C$51&gt;=65,0.75,IF($C$51&gt;=40,0.6,0.45))</f>
        <v>0.75</v>
      </c>
      <c r="H53" s="65" t="s">
        <v>211</v>
      </c>
    </row>
    <row r="54" spans="1:8" ht="14.25" customHeight="1">
      <c r="B54" s="68" t="s">
        <v>212</v>
      </c>
      <c r="C54" s="69">
        <f>IF($C$51&gt;=65,1.25,IF($C$51&gt;=40,1.4,1.55))</f>
        <v>1.25</v>
      </c>
      <c r="H54" s="65" t="s">
        <v>213</v>
      </c>
    </row>
    <row r="56" spans="1:8" ht="18" customHeight="1">
      <c r="A56" s="212" t="s">
        <v>214</v>
      </c>
      <c r="B56" s="212"/>
      <c r="C56" s="212"/>
      <c r="D56" s="212"/>
      <c r="E56" s="212"/>
      <c r="F56" s="212"/>
      <c r="G56" s="212"/>
      <c r="H56" s="212"/>
    </row>
    <row r="57" spans="1:8" ht="14.25" customHeight="1">
      <c r="B57" s="70" t="s">
        <v>71</v>
      </c>
      <c r="C57" s="70" t="s">
        <v>94</v>
      </c>
      <c r="D57" s="70" t="s">
        <v>95</v>
      </c>
      <c r="E57" s="70" t="s">
        <v>96</v>
      </c>
      <c r="F57" s="70" t="s">
        <v>97</v>
      </c>
      <c r="G57" s="70" t="s">
        <v>98</v>
      </c>
    </row>
    <row r="58" spans="1:8" ht="14.25" customHeight="1">
      <c r="B58" s="71" t="s">
        <v>215</v>
      </c>
      <c r="C58" s="72">
        <f>C5*$C$53</f>
        <v>27375</v>
      </c>
      <c r="D58" s="72">
        <f>D5*$C$53</f>
        <v>65700</v>
      </c>
      <c r="E58" s="72">
        <f>E5*$C$53</f>
        <v>120450</v>
      </c>
      <c r="F58" s="72">
        <f>F5*$C$53</f>
        <v>219000</v>
      </c>
      <c r="G58" s="72">
        <f>G5*$C$53</f>
        <v>301125</v>
      </c>
    </row>
    <row r="59" spans="1:8" ht="14.25" customHeight="1">
      <c r="B59" s="73" t="s">
        <v>216</v>
      </c>
      <c r="C59" s="74">
        <f>C5</f>
        <v>36500</v>
      </c>
      <c r="D59" s="74">
        <f>D5</f>
        <v>87600</v>
      </c>
      <c r="E59" s="74">
        <f>E5</f>
        <v>160600</v>
      </c>
      <c r="F59" s="74">
        <f>F5</f>
        <v>292000</v>
      </c>
      <c r="G59" s="74">
        <f>G5</f>
        <v>401500</v>
      </c>
    </row>
    <row r="60" spans="1:8" ht="14.25" customHeight="1">
      <c r="B60" s="75" t="s">
        <v>217</v>
      </c>
      <c r="C60" s="76">
        <f>C5*$C$54</f>
        <v>45625</v>
      </c>
      <c r="D60" s="76">
        <f>D5*$C$54</f>
        <v>109500</v>
      </c>
      <c r="E60" s="76">
        <f>E5*$C$54</f>
        <v>200750</v>
      </c>
      <c r="F60" s="76">
        <f>F5*$C$54</f>
        <v>365000</v>
      </c>
      <c r="G60" s="76">
        <f>G5*$C$54</f>
        <v>501875</v>
      </c>
    </row>
    <row r="62" spans="1:8" ht="14.25" customHeight="1">
      <c r="B62" s="71" t="s">
        <v>218</v>
      </c>
      <c r="C62" s="72">
        <f>C58-C6</f>
        <v>-17125</v>
      </c>
      <c r="D62" s="72">
        <f>D58-D6</f>
        <v>-32900</v>
      </c>
      <c r="E62" s="72">
        <f>E58-E6</f>
        <v>-46650</v>
      </c>
      <c r="F62" s="72">
        <f>F58-F6</f>
        <v>-55000</v>
      </c>
      <c r="G62" s="72">
        <f>G58-G6</f>
        <v>-65375</v>
      </c>
    </row>
    <row r="63" spans="1:8" ht="14.25" customHeight="1">
      <c r="B63" s="73" t="s">
        <v>219</v>
      </c>
      <c r="C63" s="74">
        <f>C7</f>
        <v>-8000</v>
      </c>
      <c r="D63" s="74">
        <f>D7</f>
        <v>-11000</v>
      </c>
      <c r="E63" s="74">
        <f>E7</f>
        <v>-6500</v>
      </c>
      <c r="F63" s="74">
        <f>F7</f>
        <v>18000</v>
      </c>
      <c r="G63" s="74">
        <f>G7</f>
        <v>35000</v>
      </c>
    </row>
    <row r="64" spans="1:8" ht="14.25" customHeight="1">
      <c r="B64" s="75" t="s">
        <v>220</v>
      </c>
      <c r="C64" s="76">
        <f>C60-C6</f>
        <v>1125</v>
      </c>
      <c r="D64" s="76">
        <f>D60-D6</f>
        <v>10900</v>
      </c>
      <c r="E64" s="76">
        <f>E60-E6</f>
        <v>33650</v>
      </c>
      <c r="F64" s="76">
        <f>F60-F6</f>
        <v>91000</v>
      </c>
      <c r="G64" s="76">
        <f>G60-G6</f>
        <v>135375</v>
      </c>
    </row>
    <row r="66" spans="2:7" ht="14.25" customHeight="1">
      <c r="B66" s="71" t="s">
        <v>221</v>
      </c>
      <c r="C66" s="72">
        <f>C62-C8</f>
        <v>-67125</v>
      </c>
      <c r="D66" s="72">
        <f>D62-D8</f>
        <v>-32900</v>
      </c>
      <c r="E66" s="72">
        <f>E62-E8</f>
        <v>-46650</v>
      </c>
      <c r="F66" s="72">
        <f>F62-F8</f>
        <v>-55000</v>
      </c>
      <c r="G66" s="72">
        <f>G62-G8</f>
        <v>-65375</v>
      </c>
    </row>
    <row r="67" spans="2:7" ht="14.25" customHeight="1">
      <c r="B67" s="73" t="s">
        <v>222</v>
      </c>
      <c r="C67" s="74">
        <f>C9</f>
        <v>-58000</v>
      </c>
      <c r="D67" s="74">
        <f>D9</f>
        <v>-11000</v>
      </c>
      <c r="E67" s="74">
        <f>E9</f>
        <v>-6500</v>
      </c>
      <c r="F67" s="74">
        <f>F9</f>
        <v>18000</v>
      </c>
      <c r="G67" s="74">
        <f>G9</f>
        <v>35000</v>
      </c>
    </row>
    <row r="68" spans="2:7" ht="14.25" customHeight="1">
      <c r="B68" s="75" t="s">
        <v>223</v>
      </c>
      <c r="C68" s="76">
        <f>C64-C8</f>
        <v>-48875</v>
      </c>
      <c r="D68" s="76">
        <f>D64-D8</f>
        <v>10900</v>
      </c>
      <c r="E68" s="76">
        <f>E64-E8</f>
        <v>33650</v>
      </c>
      <c r="F68" s="76">
        <f>F64-F8</f>
        <v>91000</v>
      </c>
      <c r="G68" s="76">
        <f>G64-G8</f>
        <v>135375</v>
      </c>
    </row>
    <row r="70" spans="2:7" ht="14.25" customHeight="1">
      <c r="B70" s="77" t="s">
        <v>224</v>
      </c>
      <c r="C70" s="78">
        <f>C66</f>
        <v>-67125</v>
      </c>
      <c r="D70" s="78">
        <f>C70+D66</f>
        <v>-100025</v>
      </c>
      <c r="E70" s="78">
        <f>D70+E66</f>
        <v>-146675</v>
      </c>
      <c r="F70" s="78">
        <f>E70+F66</f>
        <v>-201675</v>
      </c>
      <c r="G70" s="78">
        <f>F70+G66</f>
        <v>-267050</v>
      </c>
    </row>
    <row r="71" spans="2:7" ht="14.25" customHeight="1">
      <c r="B71" s="73" t="s">
        <v>225</v>
      </c>
      <c r="C71" s="74">
        <f>C10</f>
        <v>-58000</v>
      </c>
      <c r="D71" s="74">
        <f>D10</f>
        <v>-69000</v>
      </c>
      <c r="E71" s="74">
        <f>E10</f>
        <v>-75500</v>
      </c>
      <c r="F71" s="74">
        <f>F10</f>
        <v>-57500</v>
      </c>
      <c r="G71" s="74">
        <f>G10</f>
        <v>-22500</v>
      </c>
    </row>
    <row r="72" spans="2:7" ht="14.25" customHeight="1">
      <c r="B72" s="79" t="s">
        <v>226</v>
      </c>
      <c r="C72" s="80">
        <f>C68</f>
        <v>-48875</v>
      </c>
      <c r="D72" s="80">
        <f>C72+D68</f>
        <v>-37975</v>
      </c>
      <c r="E72" s="80">
        <f>D72+E68</f>
        <v>-4325</v>
      </c>
      <c r="F72" s="80">
        <f>E72+F68</f>
        <v>86675</v>
      </c>
      <c r="G72" s="80">
        <f>F72+G68</f>
        <v>222050</v>
      </c>
    </row>
    <row r="74" spans="2:7" ht="14.25" customHeight="1">
      <c r="B74" s="81" t="s">
        <v>227</v>
      </c>
      <c r="C74" s="82" t="str">
        <f>IF(AND(C5=0,D5=0,E5=0,F5=0,G5=0),"— (not filled)",IF(G70&lt;0,"&gt;5 years",IF(C70&gt;=0,"Year 1",IF(D70&gt;=0,"Year 2",IF(E70&gt;=0,"Year 3",IF(F70&gt;=0,"Year 4","Year 5"))))))</f>
        <v>&gt;5 years</v>
      </c>
    </row>
    <row r="75" spans="2:7" ht="14.25" customHeight="1">
      <c r="B75" s="83" t="s">
        <v>228</v>
      </c>
      <c r="C75" s="84" t="str">
        <f>IF(AND(C5=0,D5=0,E5=0,F5=0,G5=0),"— (not filled)",IF(G71&lt;0,"&gt;5 years",IF(C71&gt;=0,"Year 1",IF(D71&gt;=0,"Year 2",IF(E71&gt;=0,"Year 3",IF(F71&gt;=0,"Year 4","Year 5"))))))</f>
        <v>&gt;5 years</v>
      </c>
    </row>
    <row r="76" spans="2:7" ht="14.25" customHeight="1">
      <c r="B76" s="85" t="s">
        <v>229</v>
      </c>
      <c r="C76" s="86" t="str">
        <f>IF(AND(C5=0,D5=0,E5=0,F5=0,G5=0),"— (not filled)",IF(G72&lt;0,"&gt;5 years",IF(C72&gt;=0,"Year 1",IF(D72&gt;=0,"Year 2",IF(E72&gt;=0,"Year 3",IF(F72&gt;=0,"Year 4","Year 5"))))))</f>
        <v>Year 4</v>
      </c>
    </row>
  </sheetData>
  <mergeCells count="8">
    <mergeCell ref="A50:H50"/>
    <mergeCell ref="C52:G52"/>
    <mergeCell ref="A56:H56"/>
    <mergeCell ref="A1:H1"/>
    <mergeCell ref="B16:G16"/>
    <mergeCell ref="B28:G28"/>
    <mergeCell ref="B40:G40"/>
    <mergeCell ref="B45:G45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  <rowBreaks count="1" manualBreakCount="1">
    <brk id="44" max="16383" man="1"/>
  </rowBreaks>
  <colBreaks count="1" manualBreakCount="1">
    <brk id="7" max="104857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"/>
  <sheetViews>
    <sheetView showGridLines="0" zoomScale="83" zoomScaleNormal="68" workbookViewId="0">
      <selection sqref="A1:H1"/>
    </sheetView>
  </sheetViews>
  <sheetFormatPr defaultColWidth="8.54296875" defaultRowHeight="14.5"/>
  <cols>
    <col min="1" max="1" width="28" customWidth="1"/>
    <col min="2" max="2" width="38.1796875" customWidth="1"/>
    <col min="3" max="6" width="18" customWidth="1"/>
    <col min="7" max="7" width="22" customWidth="1"/>
    <col min="8" max="8" width="60" customWidth="1"/>
  </cols>
  <sheetData>
    <row r="1" spans="1:8" ht="78.5" customHeight="1">
      <c r="A1" s="285" t="s">
        <v>230</v>
      </c>
      <c r="B1" s="285"/>
      <c r="C1" s="285"/>
      <c r="D1" s="285"/>
      <c r="E1" s="285"/>
      <c r="F1" s="285"/>
      <c r="G1" s="285"/>
      <c r="H1" s="285"/>
    </row>
    <row r="2" spans="1:8" ht="19.5" customHeight="1">
      <c r="A2" s="49"/>
      <c r="B2" s="30"/>
      <c r="C2" s="30"/>
      <c r="D2" s="30"/>
      <c r="E2" s="30"/>
      <c r="F2" s="30"/>
      <c r="G2" s="30"/>
      <c r="H2" s="30"/>
    </row>
    <row r="3" spans="1:8" ht="19.5" customHeight="1">
      <c r="A3" s="30"/>
      <c r="B3" s="30" t="s">
        <v>71</v>
      </c>
      <c r="C3" s="50" t="s">
        <v>72</v>
      </c>
      <c r="D3" s="50" t="s">
        <v>73</v>
      </c>
      <c r="E3" s="50" t="s">
        <v>74</v>
      </c>
      <c r="F3" s="50" t="s">
        <v>75</v>
      </c>
      <c r="G3" s="50" t="s">
        <v>76</v>
      </c>
      <c r="H3" s="30" t="s">
        <v>77</v>
      </c>
    </row>
    <row r="4" spans="1:8" ht="19.5" customHeight="1">
      <c r="A4" s="51" t="s">
        <v>78</v>
      </c>
      <c r="B4" s="30"/>
      <c r="C4" s="30"/>
      <c r="D4" s="30"/>
      <c r="E4" s="30"/>
      <c r="F4" s="30"/>
      <c r="G4" s="30"/>
      <c r="H4" s="30"/>
    </row>
    <row r="5" spans="1:8" ht="19.5" customHeight="1">
      <c r="A5" s="30"/>
      <c r="B5" s="30" t="s">
        <v>79</v>
      </c>
      <c r="C5" s="52">
        <f>SUM(C19:C21)</f>
        <v>22510</v>
      </c>
      <c r="D5" s="52">
        <f>SUM(D19:D21)</f>
        <v>56260</v>
      </c>
      <c r="E5" s="52">
        <f>SUM(E19:E21)</f>
        <v>101260</v>
      </c>
      <c r="F5" s="52">
        <f>SUM(F19:F21)</f>
        <v>168760</v>
      </c>
      <c r="G5" s="52">
        <f>SUM(G19:G21)</f>
        <v>202510</v>
      </c>
      <c r="H5" s="30"/>
    </row>
    <row r="6" spans="1:8" ht="19.5" customHeight="1">
      <c r="A6" s="30"/>
      <c r="B6" s="30" t="s">
        <v>81</v>
      </c>
      <c r="C6" s="52">
        <f>SUM(C25,C27,C29,C31,C32)</f>
        <v>9000</v>
      </c>
      <c r="D6" s="52">
        <f>SUM(D25,D27,D29,D31,D32)</f>
        <v>15000</v>
      </c>
      <c r="E6" s="52">
        <f>SUM(E25,E27,E29,E31,E32)</f>
        <v>23000</v>
      </c>
      <c r="F6" s="52">
        <f>SUM(F25,F27,F29,F31,F32)</f>
        <v>35000</v>
      </c>
      <c r="G6" s="52">
        <f>SUM(G25,G27,G29,G31,G32)</f>
        <v>41000</v>
      </c>
      <c r="H6" s="30"/>
    </row>
    <row r="7" spans="1:8" ht="19.5" customHeight="1">
      <c r="A7" s="30"/>
      <c r="B7" s="30" t="s">
        <v>83</v>
      </c>
      <c r="C7" s="52">
        <f>C5-C6</f>
        <v>13510</v>
      </c>
      <c r="D7" s="52">
        <f>D5-D6</f>
        <v>41260</v>
      </c>
      <c r="E7" s="52">
        <f>E5-E6</f>
        <v>78260</v>
      </c>
      <c r="F7" s="52">
        <f>F5-F6</f>
        <v>133760</v>
      </c>
      <c r="G7" s="52">
        <f>G5-G6</f>
        <v>161510</v>
      </c>
      <c r="H7" s="30"/>
    </row>
    <row r="8" spans="1:8" ht="19.5" customHeight="1">
      <c r="A8" s="30"/>
      <c r="B8" s="30" t="s">
        <v>85</v>
      </c>
      <c r="C8" s="52">
        <f>SUM(C35:C37)</f>
        <v>33000</v>
      </c>
      <c r="D8" s="52">
        <f>SUM(D35:D37)</f>
        <v>0</v>
      </c>
      <c r="E8" s="52">
        <f>SUM(E35:E37)</f>
        <v>0</v>
      </c>
      <c r="F8" s="52">
        <f>SUM(F35:F37)</f>
        <v>0</v>
      </c>
      <c r="G8" s="52">
        <f>SUM(G35:G37)</f>
        <v>0</v>
      </c>
      <c r="H8" s="30"/>
    </row>
    <row r="9" spans="1:8" ht="19.5" customHeight="1">
      <c r="A9" s="30"/>
      <c r="B9" s="30" t="s">
        <v>87</v>
      </c>
      <c r="C9" s="52">
        <f>C7-C8</f>
        <v>-19490</v>
      </c>
      <c r="D9" s="52">
        <f>D7-D8</f>
        <v>41260</v>
      </c>
      <c r="E9" s="52">
        <f>E7-E8</f>
        <v>78260</v>
      </c>
      <c r="F9" s="52">
        <f>F7-F8</f>
        <v>133760</v>
      </c>
      <c r="G9" s="52">
        <f>G7-G8</f>
        <v>161510</v>
      </c>
      <c r="H9" s="30"/>
    </row>
    <row r="10" spans="1:8" ht="19.5" customHeight="1">
      <c r="A10" s="30"/>
      <c r="B10" s="30" t="s">
        <v>89</v>
      </c>
      <c r="C10" s="52">
        <f>SUM($C$9:C9)</f>
        <v>-19490</v>
      </c>
      <c r="D10" s="52">
        <f>SUM($C$9:D9)</f>
        <v>21770</v>
      </c>
      <c r="E10" s="52">
        <f>SUM($C$9:E9)</f>
        <v>100030</v>
      </c>
      <c r="F10" s="52">
        <f>SUM($C$9:F9)</f>
        <v>233790</v>
      </c>
      <c r="G10" s="52">
        <f>SUM($C$9:G9)</f>
        <v>395300</v>
      </c>
      <c r="H10" s="30"/>
    </row>
    <row r="11" spans="1:8" ht="19.5" customHeight="1">
      <c r="A11" s="30"/>
      <c r="B11" s="30" t="s">
        <v>91</v>
      </c>
      <c r="C11" s="53" t="str">
        <f>IF(AND(C5=0,D5=0,E5=0,F5=0,G5=0),"— (not filled)",IF(G10&lt;0,"&gt;5 years",IF(C10&gt;=0,"Year 1",IF(D10&gt;=0,"Year 2",IF(E10&gt;=0,"Year 3",IF(F10&gt;=0,"Year 4","Year 5"))))))</f>
        <v>Year 2</v>
      </c>
      <c r="D11" s="30"/>
      <c r="E11" s="30"/>
      <c r="F11" s="30"/>
      <c r="G11" s="30"/>
      <c r="H11" s="30"/>
    </row>
    <row r="12" spans="1:8" ht="19.5" customHeight="1">
      <c r="A12" s="30"/>
      <c r="B12" s="30"/>
      <c r="C12" s="30"/>
      <c r="D12" s="30"/>
      <c r="E12" s="30"/>
      <c r="F12" s="30"/>
      <c r="G12" s="30"/>
      <c r="H12" s="30"/>
    </row>
    <row r="13" spans="1:8" ht="19.5" customHeight="1">
      <c r="A13" s="30"/>
      <c r="B13" s="30"/>
      <c r="C13" s="30"/>
      <c r="D13" s="30"/>
      <c r="E13" s="30"/>
      <c r="F13" s="30"/>
      <c r="G13" s="30"/>
      <c r="H13" s="30"/>
    </row>
    <row r="14" spans="1:8" ht="19.5" customHeight="1">
      <c r="A14" s="54" t="s">
        <v>92</v>
      </c>
      <c r="B14" s="54" t="s">
        <v>93</v>
      </c>
      <c r="C14" s="54" t="s">
        <v>94</v>
      </c>
      <c r="D14" s="54" t="s">
        <v>95</v>
      </c>
      <c r="E14" s="54" t="s">
        <v>96</v>
      </c>
      <c r="F14" s="54" t="s">
        <v>97</v>
      </c>
      <c r="G14" s="54" t="s">
        <v>98</v>
      </c>
      <c r="H14" s="54" t="s">
        <v>77</v>
      </c>
    </row>
    <row r="15" spans="1:8" ht="19.5" customHeight="1">
      <c r="A15" s="30"/>
      <c r="B15" s="30"/>
      <c r="C15" s="30"/>
      <c r="D15" s="30"/>
      <c r="E15" s="30"/>
      <c r="F15" s="30"/>
      <c r="G15" s="30"/>
      <c r="H15" s="30"/>
    </row>
    <row r="16" spans="1:8" ht="19.5" customHeight="1">
      <c r="A16" s="55" t="s">
        <v>99</v>
      </c>
      <c r="B16" s="287" t="s">
        <v>231</v>
      </c>
      <c r="C16" s="287"/>
      <c r="D16" s="287"/>
      <c r="E16" s="287"/>
      <c r="F16" s="287"/>
      <c r="G16" s="287"/>
      <c r="H16" s="30"/>
    </row>
    <row r="17" spans="1:8" ht="19.5" customHeight="1">
      <c r="A17" s="30"/>
      <c r="B17" s="30" t="s">
        <v>232</v>
      </c>
      <c r="C17" s="200">
        <v>100</v>
      </c>
      <c r="D17" s="200">
        <v>250</v>
      </c>
      <c r="E17" s="200">
        <v>450</v>
      </c>
      <c r="F17" s="200">
        <v>750</v>
      </c>
      <c r="G17" s="200">
        <v>900</v>
      </c>
      <c r="H17" s="56" t="s">
        <v>233</v>
      </c>
    </row>
    <row r="18" spans="1:8" ht="19.5" customHeight="1">
      <c r="A18" s="30"/>
      <c r="B18" s="30" t="s">
        <v>234</v>
      </c>
      <c r="C18" s="201">
        <v>215</v>
      </c>
      <c r="D18" s="201">
        <v>215</v>
      </c>
      <c r="E18" s="201">
        <v>215</v>
      </c>
      <c r="F18" s="201">
        <v>215</v>
      </c>
      <c r="G18" s="201">
        <v>215</v>
      </c>
      <c r="H18" s="56" t="s">
        <v>235</v>
      </c>
    </row>
    <row r="19" spans="1:8" ht="19.5" customHeight="1">
      <c r="A19" s="30"/>
      <c r="B19" s="30" t="s">
        <v>231</v>
      </c>
      <c r="C19" s="57">
        <f>C17*C18</f>
        <v>21500</v>
      </c>
      <c r="D19" s="57">
        <f>D17*D18</f>
        <v>53750</v>
      </c>
      <c r="E19" s="57">
        <f>E17*E18</f>
        <v>96750</v>
      </c>
      <c r="F19" s="57">
        <f>F17*F18</f>
        <v>161250</v>
      </c>
      <c r="G19" s="57">
        <f>G17*G18</f>
        <v>193500</v>
      </c>
      <c r="H19" s="30" t="s">
        <v>236</v>
      </c>
    </row>
    <row r="20" spans="1:8" ht="19.5" customHeight="1">
      <c r="A20" s="30"/>
      <c r="B20" s="30" t="s">
        <v>237</v>
      </c>
      <c r="C20" s="200">
        <v>10</v>
      </c>
      <c r="D20" s="200">
        <v>10</v>
      </c>
      <c r="E20" s="200">
        <v>10</v>
      </c>
      <c r="F20" s="200">
        <v>10</v>
      </c>
      <c r="G20" s="200">
        <v>10</v>
      </c>
      <c r="H20" s="56" t="s">
        <v>238</v>
      </c>
    </row>
    <row r="21" spans="1:8" ht="19.5" customHeight="1">
      <c r="A21" s="30"/>
      <c r="B21" s="30" t="s">
        <v>239</v>
      </c>
      <c r="C21" s="57">
        <f>C17*C20</f>
        <v>1000</v>
      </c>
      <c r="D21" s="57">
        <f>D17*D20</f>
        <v>2500</v>
      </c>
      <c r="E21" s="57">
        <f>E17*E20</f>
        <v>4500</v>
      </c>
      <c r="F21" s="57">
        <f>F17*F20</f>
        <v>7500</v>
      </c>
      <c r="G21" s="57">
        <f>G17*G20</f>
        <v>9000</v>
      </c>
      <c r="H21" s="30"/>
    </row>
    <row r="22" spans="1:8" ht="19.5" customHeight="1">
      <c r="A22" s="30"/>
      <c r="B22" s="30"/>
      <c r="C22" s="30"/>
      <c r="D22" s="30"/>
      <c r="E22" s="30"/>
      <c r="F22" s="30"/>
      <c r="G22" s="30"/>
      <c r="H22" s="30"/>
    </row>
    <row r="23" spans="1:8" ht="19.5" customHeight="1">
      <c r="A23" s="55" t="s">
        <v>112</v>
      </c>
      <c r="B23" s="287" t="s">
        <v>240</v>
      </c>
      <c r="C23" s="287"/>
      <c r="D23" s="287"/>
      <c r="E23" s="287"/>
      <c r="F23" s="287"/>
      <c r="G23" s="287"/>
      <c r="H23" s="30"/>
    </row>
    <row r="24" spans="1:8" ht="19.5" customHeight="1">
      <c r="A24" s="30"/>
      <c r="B24" s="30" t="s">
        <v>241</v>
      </c>
      <c r="C24" s="200">
        <v>11</v>
      </c>
      <c r="D24" s="200">
        <v>11</v>
      </c>
      <c r="E24" s="200">
        <v>11</v>
      </c>
      <c r="F24" s="200">
        <v>11</v>
      </c>
      <c r="G24" s="200">
        <v>11</v>
      </c>
      <c r="H24" s="56" t="s">
        <v>242</v>
      </c>
    </row>
    <row r="25" spans="1:8" ht="19.5" customHeight="1">
      <c r="A25" s="30"/>
      <c r="B25" s="30" t="s">
        <v>243</v>
      </c>
      <c r="C25" s="57">
        <f>C17*C24</f>
        <v>1100</v>
      </c>
      <c r="D25" s="57">
        <f>D17*D24</f>
        <v>2750</v>
      </c>
      <c r="E25" s="57">
        <f>E17*E24</f>
        <v>4950</v>
      </c>
      <c r="F25" s="57">
        <f>F17*F24</f>
        <v>8250</v>
      </c>
      <c r="G25" s="57">
        <f>G17*G24</f>
        <v>9900</v>
      </c>
      <c r="H25" s="30" t="s">
        <v>236</v>
      </c>
    </row>
    <row r="26" spans="1:8" ht="19.5" customHeight="1">
      <c r="A26" s="30"/>
      <c r="B26" s="30" t="s">
        <v>244</v>
      </c>
      <c r="C26" s="201">
        <v>9</v>
      </c>
      <c r="D26" s="201">
        <v>9</v>
      </c>
      <c r="E26" s="201">
        <v>9</v>
      </c>
      <c r="F26" s="201">
        <v>9</v>
      </c>
      <c r="G26" s="201">
        <v>9</v>
      </c>
      <c r="H26" s="56" t="s">
        <v>245</v>
      </c>
    </row>
    <row r="27" spans="1:8" ht="19.5" customHeight="1">
      <c r="A27" s="30"/>
      <c r="B27" s="30" t="s">
        <v>246</v>
      </c>
      <c r="C27" s="57">
        <f>C17*C26</f>
        <v>900</v>
      </c>
      <c r="D27" s="57">
        <f>D17*D26</f>
        <v>2250</v>
      </c>
      <c r="E27" s="57">
        <f>E17*E26</f>
        <v>4050</v>
      </c>
      <c r="F27" s="57">
        <f>F17*F26</f>
        <v>6750</v>
      </c>
      <c r="G27" s="57">
        <f>G17*G26</f>
        <v>8100</v>
      </c>
      <c r="H27" s="30" t="s">
        <v>236</v>
      </c>
    </row>
    <row r="28" spans="1:8" ht="19.5" customHeight="1">
      <c r="A28" s="30"/>
      <c r="B28" s="30" t="s">
        <v>247</v>
      </c>
      <c r="C28" s="200">
        <v>5</v>
      </c>
      <c r="D28" s="200">
        <v>5</v>
      </c>
      <c r="E28" s="200">
        <v>5</v>
      </c>
      <c r="F28" s="200">
        <v>5</v>
      </c>
      <c r="G28" s="200">
        <v>5</v>
      </c>
      <c r="H28" s="56" t="s">
        <v>248</v>
      </c>
    </row>
    <row r="29" spans="1:8" ht="19.5" customHeight="1">
      <c r="A29" s="30"/>
      <c r="B29" s="30" t="s">
        <v>249</v>
      </c>
      <c r="C29" s="57">
        <f>C17*C28</f>
        <v>500</v>
      </c>
      <c r="D29" s="57">
        <f>D17*D28</f>
        <v>1250</v>
      </c>
      <c r="E29" s="57">
        <f>E17*E28</f>
        <v>2250</v>
      </c>
      <c r="F29" s="57">
        <f>F17*F28</f>
        <v>3750</v>
      </c>
      <c r="G29" s="57">
        <f>G17*G28</f>
        <v>4500</v>
      </c>
      <c r="H29" s="30" t="s">
        <v>236</v>
      </c>
    </row>
    <row r="30" spans="1:8" ht="19.5" customHeight="1">
      <c r="A30" s="30"/>
      <c r="B30" s="30" t="s">
        <v>250</v>
      </c>
      <c r="C30" s="200">
        <v>15</v>
      </c>
      <c r="D30" s="200">
        <v>15</v>
      </c>
      <c r="E30" s="200">
        <v>15</v>
      </c>
      <c r="F30" s="200">
        <v>15</v>
      </c>
      <c r="G30" s="200">
        <v>15</v>
      </c>
      <c r="H30" s="56" t="s">
        <v>251</v>
      </c>
    </row>
    <row r="31" spans="1:8" ht="19.5" customHeight="1">
      <c r="A31" s="30"/>
      <c r="B31" s="30" t="s">
        <v>252</v>
      </c>
      <c r="C31" s="57">
        <f>C17*C30</f>
        <v>1500</v>
      </c>
      <c r="D31" s="57">
        <f>D17*D30</f>
        <v>3750</v>
      </c>
      <c r="E31" s="57">
        <f>E17*E30</f>
        <v>6750</v>
      </c>
      <c r="F31" s="57">
        <f>F17*F30</f>
        <v>11250</v>
      </c>
      <c r="G31" s="57">
        <f>G17*G30</f>
        <v>13500</v>
      </c>
      <c r="H31" s="30" t="s">
        <v>236</v>
      </c>
    </row>
    <row r="32" spans="1:8" ht="19.5" customHeight="1">
      <c r="A32" s="30"/>
      <c r="B32" s="30" t="s">
        <v>253</v>
      </c>
      <c r="C32" s="200">
        <v>5000</v>
      </c>
      <c r="D32" s="200">
        <v>5000</v>
      </c>
      <c r="E32" s="200">
        <v>5000</v>
      </c>
      <c r="F32" s="200">
        <v>5000</v>
      </c>
      <c r="G32" s="200">
        <v>5000</v>
      </c>
      <c r="H32" s="56" t="s">
        <v>254</v>
      </c>
    </row>
    <row r="33" spans="1:8" ht="19.5" customHeight="1">
      <c r="A33" s="30"/>
      <c r="B33" s="30"/>
      <c r="C33" s="30"/>
      <c r="D33" s="30"/>
      <c r="E33" s="30"/>
      <c r="F33" s="30"/>
      <c r="G33" s="30"/>
      <c r="H33" s="30"/>
    </row>
    <row r="34" spans="1:8" ht="19.5" customHeight="1">
      <c r="A34" s="55" t="s">
        <v>133</v>
      </c>
      <c r="B34" s="287" t="s">
        <v>255</v>
      </c>
      <c r="C34" s="287"/>
      <c r="D34" s="287"/>
      <c r="E34" s="287"/>
      <c r="F34" s="287"/>
      <c r="G34" s="287"/>
      <c r="H34" s="30"/>
    </row>
    <row r="35" spans="1:8" ht="19.5" customHeight="1">
      <c r="A35" s="30"/>
      <c r="B35" s="30" t="s">
        <v>256</v>
      </c>
      <c r="C35" s="200">
        <v>8000</v>
      </c>
      <c r="D35" s="200">
        <v>0</v>
      </c>
      <c r="E35" s="200">
        <v>0</v>
      </c>
      <c r="F35" s="200">
        <v>0</v>
      </c>
      <c r="G35" s="200">
        <v>0</v>
      </c>
      <c r="H35" s="56" t="s">
        <v>257</v>
      </c>
    </row>
    <row r="36" spans="1:8" ht="19.5" customHeight="1">
      <c r="A36" s="30"/>
      <c r="B36" s="30" t="s">
        <v>258</v>
      </c>
      <c r="C36" s="200">
        <v>20000</v>
      </c>
      <c r="D36" s="200">
        <v>0</v>
      </c>
      <c r="E36" s="200">
        <v>0</v>
      </c>
      <c r="F36" s="200">
        <v>0</v>
      </c>
      <c r="G36" s="200">
        <v>0</v>
      </c>
      <c r="H36" s="56" t="s">
        <v>259</v>
      </c>
    </row>
    <row r="37" spans="1:8" ht="19.5" customHeight="1">
      <c r="A37" s="30"/>
      <c r="B37" s="30" t="s">
        <v>196</v>
      </c>
      <c r="C37" s="200">
        <v>5000</v>
      </c>
      <c r="D37" s="200">
        <v>0</v>
      </c>
      <c r="E37" s="200">
        <v>0</v>
      </c>
      <c r="F37" s="200">
        <v>0</v>
      </c>
      <c r="G37" s="200">
        <v>0</v>
      </c>
      <c r="H37" s="56" t="s">
        <v>260</v>
      </c>
    </row>
    <row r="38" spans="1:8" ht="19.5" customHeight="1">
      <c r="A38" s="30"/>
      <c r="B38" s="30"/>
      <c r="C38" s="30"/>
      <c r="D38" s="30"/>
      <c r="E38" s="30"/>
      <c r="F38" s="30"/>
      <c r="G38" s="30"/>
      <c r="H38" s="30"/>
    </row>
    <row r="39" spans="1:8" ht="19.5" customHeight="1">
      <c r="A39" s="60" t="s">
        <v>198</v>
      </c>
      <c r="B39" s="288" t="s">
        <v>199</v>
      </c>
      <c r="C39" s="288"/>
      <c r="D39" s="288"/>
      <c r="E39" s="288"/>
      <c r="F39" s="288"/>
      <c r="G39" s="288"/>
      <c r="H39" s="30"/>
    </row>
    <row r="40" spans="1:8" ht="19.5" customHeight="1">
      <c r="A40" s="30"/>
      <c r="B40" s="30" t="s">
        <v>261</v>
      </c>
      <c r="C40" s="203">
        <v>0.3</v>
      </c>
      <c r="D40" s="203">
        <v>0.3</v>
      </c>
      <c r="E40" s="203">
        <v>0.3</v>
      </c>
      <c r="F40" s="203">
        <v>0.3</v>
      </c>
      <c r="G40" s="203">
        <v>0.3</v>
      </c>
      <c r="H40" s="56" t="s">
        <v>262</v>
      </c>
    </row>
    <row r="41" spans="1:8" ht="19.5" customHeight="1">
      <c r="A41" s="30"/>
      <c r="B41" s="30" t="s">
        <v>263</v>
      </c>
      <c r="C41" s="200">
        <v>45</v>
      </c>
      <c r="D41" s="200">
        <v>45</v>
      </c>
      <c r="E41" s="200">
        <v>45</v>
      </c>
      <c r="F41" s="200">
        <v>45</v>
      </c>
      <c r="G41" s="200">
        <v>45</v>
      </c>
      <c r="H41" s="56" t="s">
        <v>264</v>
      </c>
    </row>
    <row r="42" spans="1:8" ht="19.5" customHeight="1">
      <c r="A42" s="30"/>
      <c r="B42" s="30" t="s">
        <v>265</v>
      </c>
      <c r="C42" s="200">
        <v>2</v>
      </c>
      <c r="D42" s="200">
        <v>2</v>
      </c>
      <c r="E42" s="200">
        <v>2</v>
      </c>
      <c r="F42" s="200">
        <v>2</v>
      </c>
      <c r="G42" s="200">
        <v>2</v>
      </c>
      <c r="H42" s="56" t="s">
        <v>266</v>
      </c>
    </row>
    <row r="43" spans="1:8" ht="14.25" customHeight="1">
      <c r="A43" s="6" t="s">
        <v>153</v>
      </c>
    </row>
    <row r="44" spans="1:8" ht="18" customHeight="1">
      <c r="A44" s="212" t="s">
        <v>206</v>
      </c>
      <c r="B44" s="212"/>
      <c r="C44" s="212"/>
      <c r="D44" s="212"/>
      <c r="E44" s="212"/>
      <c r="F44" s="212"/>
      <c r="G44" s="212"/>
      <c r="H44" s="212"/>
    </row>
    <row r="45" spans="1:8" ht="15" customHeight="1">
      <c r="B45" s="63" t="s">
        <v>207</v>
      </c>
      <c r="C45" s="64">
        <f>ROUND(IF(C40=0,50,MIN(100,C40*100))*0.4+IF(C41=0,50,MAX(0,100-C41*1.5))*0.3+IF(C42=0,50,MIN(100,C42*33))*0.3,0)</f>
        <v>42</v>
      </c>
      <c r="H45" s="65" t="s">
        <v>208</v>
      </c>
    </row>
    <row r="46" spans="1:8" ht="14.25" customHeight="1">
      <c r="B46" s="63" t="s">
        <v>209</v>
      </c>
      <c r="C46" s="286" t="str">
        <f>IF($C$45&gt;=65,"🟢 High — projections are likely achievable",IF($C$45&gt;=40,"🟡 Medium — projections require market validation","🔴 Low — projections are aspirational; high uncertainty"))</f>
        <v>🟡 Medium — projections require market validation</v>
      </c>
      <c r="D46" s="286"/>
      <c r="E46" s="286"/>
      <c r="F46" s="286"/>
      <c r="G46" s="286"/>
    </row>
    <row r="47" spans="1:8" ht="14.25" customHeight="1">
      <c r="B47" s="66" t="s">
        <v>210</v>
      </c>
      <c r="C47" s="67">
        <f>IF($C$45&gt;=65,0.75,IF($C$45&gt;=40,0.6,0.45))</f>
        <v>0.6</v>
      </c>
      <c r="H47" s="65" t="s">
        <v>211</v>
      </c>
    </row>
    <row r="48" spans="1:8" ht="14.25" customHeight="1">
      <c r="B48" s="68" t="s">
        <v>212</v>
      </c>
      <c r="C48" s="69">
        <f>IF($C$45&gt;=65,1.25,IF($C$45&gt;=40,1.4,1.55))</f>
        <v>1.4</v>
      </c>
      <c r="H48" s="65" t="s">
        <v>213</v>
      </c>
    </row>
    <row r="50" spans="1:8" ht="18" customHeight="1">
      <c r="A50" s="212" t="s">
        <v>214</v>
      </c>
      <c r="B50" s="212"/>
      <c r="C50" s="212"/>
      <c r="D50" s="212"/>
      <c r="E50" s="212"/>
      <c r="F50" s="212"/>
      <c r="G50" s="212"/>
      <c r="H50" s="212"/>
    </row>
    <row r="51" spans="1:8" ht="14.25" customHeight="1">
      <c r="B51" s="70" t="s">
        <v>71</v>
      </c>
      <c r="C51" s="70" t="s">
        <v>94</v>
      </c>
      <c r="D51" s="70" t="s">
        <v>95</v>
      </c>
      <c r="E51" s="70" t="s">
        <v>96</v>
      </c>
      <c r="F51" s="70" t="s">
        <v>97</v>
      </c>
      <c r="G51" s="70" t="s">
        <v>98</v>
      </c>
    </row>
    <row r="52" spans="1:8" ht="14.25" customHeight="1">
      <c r="B52" s="71" t="s">
        <v>215</v>
      </c>
      <c r="C52" s="72">
        <f>C5*$C$47</f>
        <v>13506</v>
      </c>
      <c r="D52" s="72">
        <f>D5*$C$47</f>
        <v>33756</v>
      </c>
      <c r="E52" s="72">
        <f>E5*$C$47</f>
        <v>60756</v>
      </c>
      <c r="F52" s="72">
        <f>F5*$C$47</f>
        <v>101256</v>
      </c>
      <c r="G52" s="72">
        <f>G5*$C$47</f>
        <v>121506</v>
      </c>
    </row>
    <row r="53" spans="1:8" ht="14.25" customHeight="1">
      <c r="B53" s="73" t="s">
        <v>216</v>
      </c>
      <c r="C53" s="74">
        <f>C5</f>
        <v>22510</v>
      </c>
      <c r="D53" s="74">
        <f>D5</f>
        <v>56260</v>
      </c>
      <c r="E53" s="74">
        <f>E5</f>
        <v>101260</v>
      </c>
      <c r="F53" s="74">
        <f>F5</f>
        <v>168760</v>
      </c>
      <c r="G53" s="74">
        <f>G5</f>
        <v>202510</v>
      </c>
    </row>
    <row r="54" spans="1:8" ht="14.25" customHeight="1">
      <c r="B54" s="75" t="s">
        <v>217</v>
      </c>
      <c r="C54" s="76">
        <f>C5*$C$48</f>
        <v>31513.999999999996</v>
      </c>
      <c r="D54" s="76">
        <f>D5*$C$48</f>
        <v>78764</v>
      </c>
      <c r="E54" s="76">
        <f>E5*$C$48</f>
        <v>141764</v>
      </c>
      <c r="F54" s="76">
        <f>F5*$C$48</f>
        <v>236263.99999999997</v>
      </c>
      <c r="G54" s="76">
        <f>G5*$C$48</f>
        <v>283514</v>
      </c>
    </row>
    <row r="56" spans="1:8" ht="14.25" customHeight="1">
      <c r="B56" s="71" t="s">
        <v>218</v>
      </c>
      <c r="C56" s="72">
        <f>C52-C6</f>
        <v>4506</v>
      </c>
      <c r="D56" s="72">
        <f>D52-D6</f>
        <v>18756</v>
      </c>
      <c r="E56" s="72">
        <f>E52-E6</f>
        <v>37756</v>
      </c>
      <c r="F56" s="72">
        <f>F52-F6</f>
        <v>66256</v>
      </c>
      <c r="G56" s="72">
        <f>G52-G6</f>
        <v>80506</v>
      </c>
    </row>
    <row r="57" spans="1:8" ht="14.25" customHeight="1">
      <c r="B57" s="73" t="s">
        <v>219</v>
      </c>
      <c r="C57" s="74">
        <f>C7</f>
        <v>13510</v>
      </c>
      <c r="D57" s="74">
        <f>D7</f>
        <v>41260</v>
      </c>
      <c r="E57" s="74">
        <f>E7</f>
        <v>78260</v>
      </c>
      <c r="F57" s="74">
        <f>F7</f>
        <v>133760</v>
      </c>
      <c r="G57" s="74">
        <f>G7</f>
        <v>161510</v>
      </c>
    </row>
    <row r="58" spans="1:8" ht="14.25" customHeight="1">
      <c r="B58" s="75" t="s">
        <v>220</v>
      </c>
      <c r="C58" s="76">
        <f>C54-C6</f>
        <v>22513.999999999996</v>
      </c>
      <c r="D58" s="76">
        <f>D54-D6</f>
        <v>63764</v>
      </c>
      <c r="E58" s="76">
        <f>E54-E6</f>
        <v>118764</v>
      </c>
      <c r="F58" s="76">
        <f>F54-F6</f>
        <v>201263.99999999997</v>
      </c>
      <c r="G58" s="76">
        <f>G54-G6</f>
        <v>242514</v>
      </c>
    </row>
    <row r="60" spans="1:8" ht="14.25" customHeight="1">
      <c r="B60" s="71" t="s">
        <v>221</v>
      </c>
      <c r="C60" s="72">
        <f>C56-C8</f>
        <v>-28494</v>
      </c>
      <c r="D60" s="72">
        <f>D56-D8</f>
        <v>18756</v>
      </c>
      <c r="E60" s="72">
        <f>E56-E8</f>
        <v>37756</v>
      </c>
      <c r="F60" s="72">
        <f>F56-F8</f>
        <v>66256</v>
      </c>
      <c r="G60" s="72">
        <f>G56-G8</f>
        <v>80506</v>
      </c>
    </row>
    <row r="61" spans="1:8" ht="14.25" customHeight="1">
      <c r="B61" s="73" t="s">
        <v>222</v>
      </c>
      <c r="C61" s="74">
        <f>C9</f>
        <v>-19490</v>
      </c>
      <c r="D61" s="74">
        <f>D9</f>
        <v>41260</v>
      </c>
      <c r="E61" s="74">
        <f>E9</f>
        <v>78260</v>
      </c>
      <c r="F61" s="74">
        <f>F9</f>
        <v>133760</v>
      </c>
      <c r="G61" s="74">
        <f>G9</f>
        <v>161510</v>
      </c>
    </row>
    <row r="62" spans="1:8" ht="14.25" customHeight="1">
      <c r="B62" s="75" t="s">
        <v>223</v>
      </c>
      <c r="C62" s="76">
        <f>C58-C8</f>
        <v>-10486.000000000004</v>
      </c>
      <c r="D62" s="76">
        <f>D58-D8</f>
        <v>63764</v>
      </c>
      <c r="E62" s="76">
        <f>E58-E8</f>
        <v>118764</v>
      </c>
      <c r="F62" s="76">
        <f>F58-F8</f>
        <v>201263.99999999997</v>
      </c>
      <c r="G62" s="76">
        <f>G58-G8</f>
        <v>242514</v>
      </c>
    </row>
    <row r="64" spans="1:8" ht="14.25" customHeight="1">
      <c r="B64" s="77" t="s">
        <v>224</v>
      </c>
      <c r="C64" s="78">
        <f>C60</f>
        <v>-28494</v>
      </c>
      <c r="D64" s="78">
        <f>C64+D60</f>
        <v>-9738</v>
      </c>
      <c r="E64" s="78">
        <f>D64+E60</f>
        <v>28018</v>
      </c>
      <c r="F64" s="78">
        <f>E64+F60</f>
        <v>94274</v>
      </c>
      <c r="G64" s="78">
        <f>F64+G60</f>
        <v>174780</v>
      </c>
    </row>
    <row r="65" spans="2:7" ht="14.25" customHeight="1">
      <c r="B65" s="73" t="s">
        <v>225</v>
      </c>
      <c r="C65" s="74">
        <f>C10</f>
        <v>-19490</v>
      </c>
      <c r="D65" s="74">
        <f>D10</f>
        <v>21770</v>
      </c>
      <c r="E65" s="74">
        <f>E10</f>
        <v>100030</v>
      </c>
      <c r="F65" s="74">
        <f>F10</f>
        <v>233790</v>
      </c>
      <c r="G65" s="74">
        <f>G10</f>
        <v>395300</v>
      </c>
    </row>
    <row r="66" spans="2:7" ht="14.25" customHeight="1">
      <c r="B66" s="79" t="s">
        <v>226</v>
      </c>
      <c r="C66" s="80">
        <f>C62</f>
        <v>-10486.000000000004</v>
      </c>
      <c r="D66" s="80">
        <f>C66+D62</f>
        <v>53278</v>
      </c>
      <c r="E66" s="80">
        <f>D66+E62</f>
        <v>172042</v>
      </c>
      <c r="F66" s="80">
        <f>E66+F62</f>
        <v>373306</v>
      </c>
      <c r="G66" s="80">
        <f>F66+G62</f>
        <v>615820</v>
      </c>
    </row>
    <row r="68" spans="2:7" ht="14.25" customHeight="1">
      <c r="B68" s="81" t="s">
        <v>227</v>
      </c>
      <c r="C68" s="82" t="str">
        <f>IF(AND(C5=0,D5=0,E5=0,F5=0,G5=0),"— (not filled)",IF(G64&lt;0,"&gt;5 years",IF(C64&gt;=0,"Year 1",IF(D64&gt;=0,"Year 2",IF(E64&gt;=0,"Year 3",IF(F64&gt;=0,"Year 4","Year 5"))))))</f>
        <v>Year 3</v>
      </c>
    </row>
    <row r="69" spans="2:7" ht="14.25" customHeight="1">
      <c r="B69" s="83" t="s">
        <v>228</v>
      </c>
      <c r="C69" s="84" t="str">
        <f>IF(AND(C5=0,D5=0,E5=0,F5=0,G5=0),"— (not filled)",IF(G65&lt;0,"&gt;5 years",IF(C65&gt;=0,"Year 1",IF(D65&gt;=0,"Year 2",IF(E65&gt;=0,"Year 3",IF(F65&gt;=0,"Year 4","Year 5"))))))</f>
        <v>Year 2</v>
      </c>
    </row>
    <row r="70" spans="2:7" ht="14.25" customHeight="1">
      <c r="B70" s="85" t="s">
        <v>229</v>
      </c>
      <c r="C70" s="86" t="str">
        <f>IF(AND(C5=0,D5=0,E5=0,F5=0,G5=0),"— (not filled)",IF(G66&lt;0,"&gt;5 years",IF(C66&gt;=0,"Year 1",IF(D66&gt;=0,"Year 2",IF(E66&gt;=0,"Year 3",IF(F66&gt;=0,"Year 4","Year 5"))))))</f>
        <v>Year 2</v>
      </c>
    </row>
  </sheetData>
  <mergeCells count="8">
    <mergeCell ref="A44:H44"/>
    <mergeCell ref="C46:G46"/>
    <mergeCell ref="A50:H50"/>
    <mergeCell ref="A1:H1"/>
    <mergeCell ref="B16:G16"/>
    <mergeCell ref="B23:G23"/>
    <mergeCell ref="B34:G34"/>
    <mergeCell ref="B39:G39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5"/>
  <sheetViews>
    <sheetView showGridLines="0" zoomScaleNormal="100" workbookViewId="0">
      <selection sqref="A1:H1"/>
    </sheetView>
  </sheetViews>
  <sheetFormatPr defaultColWidth="8.54296875" defaultRowHeight="14.5"/>
  <cols>
    <col min="1" max="1" width="28" customWidth="1"/>
    <col min="2" max="2" width="46" customWidth="1"/>
    <col min="3" max="6" width="18" customWidth="1"/>
    <col min="7" max="7" width="22" customWidth="1"/>
    <col min="8" max="8" width="60" customWidth="1"/>
  </cols>
  <sheetData>
    <row r="1" spans="1:8" ht="71.5" customHeight="1">
      <c r="A1" s="285" t="s">
        <v>267</v>
      </c>
      <c r="B1" s="285"/>
      <c r="C1" s="285"/>
      <c r="D1" s="285"/>
      <c r="E1" s="285"/>
      <c r="F1" s="285"/>
      <c r="G1" s="285"/>
      <c r="H1" s="285"/>
    </row>
    <row r="2" spans="1:8" ht="19.5" customHeight="1">
      <c r="A2" s="49"/>
      <c r="B2" s="30"/>
      <c r="C2" s="30"/>
      <c r="D2" s="30"/>
      <c r="E2" s="30"/>
      <c r="F2" s="30"/>
      <c r="G2" s="30"/>
      <c r="H2" s="30"/>
    </row>
    <row r="3" spans="1:8" ht="19.5" customHeight="1">
      <c r="A3" s="30"/>
      <c r="B3" s="30" t="s">
        <v>71</v>
      </c>
      <c r="C3" s="50" t="s">
        <v>72</v>
      </c>
      <c r="D3" s="50" t="s">
        <v>73</v>
      </c>
      <c r="E3" s="50" t="s">
        <v>74</v>
      </c>
      <c r="F3" s="50" t="s">
        <v>75</v>
      </c>
      <c r="G3" s="50" t="s">
        <v>76</v>
      </c>
      <c r="H3" s="30" t="s">
        <v>77</v>
      </c>
    </row>
    <row r="4" spans="1:8" ht="19.5" customHeight="1">
      <c r="A4" s="51" t="s">
        <v>78</v>
      </c>
      <c r="B4" s="30"/>
      <c r="C4" s="30"/>
      <c r="D4" s="30"/>
      <c r="E4" s="30"/>
      <c r="F4" s="30"/>
      <c r="G4" s="30"/>
      <c r="H4" s="30"/>
    </row>
    <row r="5" spans="1:8" ht="19.5" customHeight="1">
      <c r="A5" s="30"/>
      <c r="B5" s="30" t="s">
        <v>79</v>
      </c>
      <c r="C5" s="52">
        <f>SUM(C19:C19)</f>
        <v>9360</v>
      </c>
      <c r="D5" s="52">
        <f>SUM(D19:D19)</f>
        <v>31200</v>
      </c>
      <c r="E5" s="52">
        <f>SUM(E19:E19)</f>
        <v>70200</v>
      </c>
      <c r="F5" s="52">
        <f>SUM(F19:F19)</f>
        <v>156000</v>
      </c>
      <c r="G5" s="52">
        <f>SUM(G19:G19)</f>
        <v>202800</v>
      </c>
      <c r="H5" s="30"/>
    </row>
    <row r="6" spans="1:8" ht="19.5" customHeight="1">
      <c r="A6" s="30"/>
      <c r="B6" s="30" t="s">
        <v>81</v>
      </c>
      <c r="C6" s="52">
        <f>SUM(C23,C25,C27,C29,C31,C33,C35,C36)</f>
        <v>10820</v>
      </c>
      <c r="D6" s="52">
        <f>SUM(D23,D25,D27,D29,D31,D33,D35,D36)</f>
        <v>24400</v>
      </c>
      <c r="E6" s="52">
        <f>SUM(E23,E25,E27,E29,E31,E33,E35,E36)</f>
        <v>48650</v>
      </c>
      <c r="F6" s="52">
        <f>SUM(F23,F25,F27,F29,F31,F33,F35,F36)</f>
        <v>102000</v>
      </c>
      <c r="G6" s="52">
        <f>SUM(G23,G25,G27,G29,G31,G33,G35,G36)</f>
        <v>131100</v>
      </c>
      <c r="H6" s="30"/>
    </row>
    <row r="7" spans="1:8" ht="19.5" customHeight="1">
      <c r="A7" s="30"/>
      <c r="B7" s="30" t="s">
        <v>83</v>
      </c>
      <c r="C7" s="52">
        <f>C5-C6</f>
        <v>-1460</v>
      </c>
      <c r="D7" s="52">
        <f>D5-D6</f>
        <v>6800</v>
      </c>
      <c r="E7" s="52">
        <f>E5-E6</f>
        <v>21550</v>
      </c>
      <c r="F7" s="52">
        <f>F5-F6</f>
        <v>54000</v>
      </c>
      <c r="G7" s="52">
        <f>G5-G6</f>
        <v>71700</v>
      </c>
      <c r="H7" s="30"/>
    </row>
    <row r="8" spans="1:8" ht="19.5" customHeight="1">
      <c r="A8" s="30"/>
      <c r="B8" s="30" t="s">
        <v>85</v>
      </c>
      <c r="C8" s="52">
        <f>SUM(C39:C42)</f>
        <v>71000</v>
      </c>
      <c r="D8" s="52">
        <f>SUM(D39:D42)</f>
        <v>0</v>
      </c>
      <c r="E8" s="52">
        <f>SUM(E39:E42)</f>
        <v>0</v>
      </c>
      <c r="F8" s="52">
        <f>SUM(F39:F42)</f>
        <v>0</v>
      </c>
      <c r="G8" s="52">
        <f>SUM(G39:G42)</f>
        <v>0</v>
      </c>
      <c r="H8" s="30"/>
    </row>
    <row r="9" spans="1:8" ht="19.5" customHeight="1">
      <c r="A9" s="30"/>
      <c r="B9" s="30" t="s">
        <v>87</v>
      </c>
      <c r="C9" s="52">
        <f>C7-C8</f>
        <v>-72460</v>
      </c>
      <c r="D9" s="52">
        <f>D7-D8</f>
        <v>6800</v>
      </c>
      <c r="E9" s="52">
        <f>E7-E8</f>
        <v>21550</v>
      </c>
      <c r="F9" s="52">
        <f>F7-F8</f>
        <v>54000</v>
      </c>
      <c r="G9" s="52">
        <f>G7-G8</f>
        <v>71700</v>
      </c>
      <c r="H9" s="30"/>
    </row>
    <row r="10" spans="1:8" ht="19.5" customHeight="1">
      <c r="A10" s="30"/>
      <c r="B10" s="30" t="s">
        <v>89</v>
      </c>
      <c r="C10" s="52">
        <f>SUM($C$9:C9)</f>
        <v>-72460</v>
      </c>
      <c r="D10" s="52">
        <f>SUM($C$9:D9)</f>
        <v>-65660</v>
      </c>
      <c r="E10" s="52">
        <f>SUM($C$9:E9)</f>
        <v>-44110</v>
      </c>
      <c r="F10" s="52">
        <f>SUM($C$9:F9)</f>
        <v>9890</v>
      </c>
      <c r="G10" s="52">
        <f>SUM($C$9:G9)</f>
        <v>81590</v>
      </c>
      <c r="H10" s="30"/>
    </row>
    <row r="11" spans="1:8" ht="19.5" customHeight="1">
      <c r="A11" s="30"/>
      <c r="B11" s="30" t="s">
        <v>91</v>
      </c>
      <c r="C11" s="53" t="str">
        <f>IF(AND(C5=0,D5=0,E5=0,F5=0,G5=0),"— (not filled)",IF(G10&lt;0,"&gt;5 years",IF(C10&gt;=0,"Year 1",IF(D10&gt;=0,"Year 2",IF(E10&gt;=0,"Year 3",IF(F10&gt;=0,"Year 4","Year 5"))))))</f>
        <v>Year 4</v>
      </c>
      <c r="D11" s="30"/>
      <c r="E11" s="30"/>
      <c r="F11" s="30"/>
      <c r="G11" s="30"/>
      <c r="H11" s="30"/>
    </row>
    <row r="12" spans="1:8" ht="19.5" customHeight="1">
      <c r="A12" s="30"/>
      <c r="B12" s="30"/>
      <c r="C12" s="30"/>
      <c r="D12" s="30"/>
      <c r="E12" s="30"/>
      <c r="F12" s="30"/>
      <c r="G12" s="30"/>
      <c r="H12" s="30"/>
    </row>
    <row r="13" spans="1:8" ht="19.5" customHeight="1">
      <c r="A13" s="30"/>
      <c r="B13" s="30"/>
      <c r="C13" s="30"/>
      <c r="D13" s="30"/>
      <c r="E13" s="30"/>
      <c r="F13" s="30"/>
      <c r="G13" s="30"/>
      <c r="H13" s="30"/>
    </row>
    <row r="14" spans="1:8" ht="19.5" customHeight="1">
      <c r="A14" s="54" t="s">
        <v>92</v>
      </c>
      <c r="B14" s="54" t="s">
        <v>93</v>
      </c>
      <c r="C14" s="54" t="s">
        <v>94</v>
      </c>
      <c r="D14" s="54" t="s">
        <v>95</v>
      </c>
      <c r="E14" s="54" t="s">
        <v>96</v>
      </c>
      <c r="F14" s="54" t="s">
        <v>97</v>
      </c>
      <c r="G14" s="54" t="s">
        <v>98</v>
      </c>
      <c r="H14" s="54" t="s">
        <v>77</v>
      </c>
    </row>
    <row r="15" spans="1:8" ht="19.5" customHeight="1">
      <c r="A15" s="30"/>
      <c r="B15" s="30"/>
      <c r="C15" s="30"/>
      <c r="D15" s="30"/>
      <c r="E15" s="30"/>
      <c r="F15" s="30"/>
      <c r="G15" s="30"/>
      <c r="H15" s="30"/>
    </row>
    <row r="16" spans="1:8" ht="19.5" customHeight="1">
      <c r="A16" s="55" t="s">
        <v>99</v>
      </c>
      <c r="B16" s="287" t="s">
        <v>268</v>
      </c>
      <c r="C16" s="287"/>
      <c r="D16" s="287"/>
      <c r="E16" s="287"/>
      <c r="F16" s="287"/>
      <c r="G16" s="287"/>
      <c r="H16" s="30"/>
    </row>
    <row r="17" spans="1:8" ht="19.5" customHeight="1">
      <c r="A17" s="30"/>
      <c r="B17" s="30" t="s">
        <v>269</v>
      </c>
      <c r="C17" s="200">
        <v>60</v>
      </c>
      <c r="D17" s="200">
        <v>200</v>
      </c>
      <c r="E17" s="200">
        <v>450</v>
      </c>
      <c r="F17" s="200">
        <v>1000</v>
      </c>
      <c r="G17" s="200">
        <v>1300</v>
      </c>
      <c r="H17" s="56" t="s">
        <v>270</v>
      </c>
    </row>
    <row r="18" spans="1:8" ht="19.5" customHeight="1">
      <c r="A18" s="30"/>
      <c r="B18" s="30" t="s">
        <v>271</v>
      </c>
      <c r="C18" s="201">
        <v>156</v>
      </c>
      <c r="D18" s="201">
        <v>156</v>
      </c>
      <c r="E18" s="201">
        <v>156</v>
      </c>
      <c r="F18" s="201">
        <v>156</v>
      </c>
      <c r="G18" s="201">
        <v>156</v>
      </c>
      <c r="H18" s="56" t="s">
        <v>272</v>
      </c>
    </row>
    <row r="19" spans="1:8" ht="19.5" customHeight="1">
      <c r="A19" s="30"/>
      <c r="B19" s="30" t="s">
        <v>273</v>
      </c>
      <c r="C19" s="57">
        <f>C17*C18</f>
        <v>9360</v>
      </c>
      <c r="D19" s="57">
        <f>D17*D18</f>
        <v>31200</v>
      </c>
      <c r="E19" s="57">
        <f>E17*E18</f>
        <v>70200</v>
      </c>
      <c r="F19" s="57">
        <f>F17*F18</f>
        <v>156000</v>
      </c>
      <c r="G19" s="57">
        <f>G17*G18</f>
        <v>202800</v>
      </c>
      <c r="H19" s="30"/>
    </row>
    <row r="20" spans="1:8" ht="19.5" customHeight="1">
      <c r="A20" s="30"/>
      <c r="B20" s="30"/>
      <c r="C20" s="30"/>
      <c r="D20" s="30"/>
      <c r="E20" s="30"/>
      <c r="F20" s="30"/>
      <c r="G20" s="30"/>
      <c r="H20" s="30"/>
    </row>
    <row r="21" spans="1:8" ht="19.5" customHeight="1">
      <c r="A21" s="87" t="s">
        <v>112</v>
      </c>
      <c r="B21" s="289" t="s">
        <v>274</v>
      </c>
      <c r="C21" s="289"/>
      <c r="D21" s="289"/>
      <c r="E21" s="289"/>
      <c r="F21" s="289"/>
      <c r="G21" s="289"/>
      <c r="H21" s="30"/>
    </row>
    <row r="22" spans="1:8" ht="19.5" customHeight="1">
      <c r="A22" s="30"/>
      <c r="B22" s="30" t="s">
        <v>275</v>
      </c>
      <c r="C22" s="200">
        <v>11</v>
      </c>
      <c r="D22" s="200">
        <v>11</v>
      </c>
      <c r="E22" s="200">
        <v>11</v>
      </c>
      <c r="F22" s="200">
        <v>11</v>
      </c>
      <c r="G22" s="200">
        <v>11</v>
      </c>
      <c r="H22" s="56" t="s">
        <v>276</v>
      </c>
    </row>
    <row r="23" spans="1:8" ht="19.5" customHeight="1">
      <c r="A23" s="30"/>
      <c r="B23" s="30" t="s">
        <v>277</v>
      </c>
      <c r="C23" s="57">
        <f>C17*C22</f>
        <v>660</v>
      </c>
      <c r="D23" s="57">
        <f>D17*D22</f>
        <v>2200</v>
      </c>
      <c r="E23" s="57">
        <f>E17*E22</f>
        <v>4950</v>
      </c>
      <c r="F23" s="57">
        <f>F17*F22</f>
        <v>11000</v>
      </c>
      <c r="G23" s="57">
        <f>G17*G22</f>
        <v>14300</v>
      </c>
      <c r="H23" s="30" t="s">
        <v>236</v>
      </c>
    </row>
    <row r="24" spans="1:8" ht="19.5" customHeight="1">
      <c r="A24" s="30"/>
      <c r="B24" s="30" t="s">
        <v>278</v>
      </c>
      <c r="C24" s="200">
        <v>15</v>
      </c>
      <c r="D24" s="200">
        <v>15</v>
      </c>
      <c r="E24" s="200">
        <v>15</v>
      </c>
      <c r="F24" s="200">
        <v>15</v>
      </c>
      <c r="G24" s="200">
        <v>15</v>
      </c>
      <c r="H24" s="56" t="s">
        <v>279</v>
      </c>
    </row>
    <row r="25" spans="1:8" ht="19.5" customHeight="1">
      <c r="A25" s="30"/>
      <c r="B25" s="30" t="s">
        <v>280</v>
      </c>
      <c r="C25" s="57">
        <f>C17*C24</f>
        <v>900</v>
      </c>
      <c r="D25" s="57">
        <f>D17*D24</f>
        <v>3000</v>
      </c>
      <c r="E25" s="57">
        <f>E17*E24</f>
        <v>6750</v>
      </c>
      <c r="F25" s="57">
        <f>F17*F24</f>
        <v>15000</v>
      </c>
      <c r="G25" s="57">
        <f>G17*G24</f>
        <v>19500</v>
      </c>
      <c r="H25" s="30" t="s">
        <v>236</v>
      </c>
    </row>
    <row r="26" spans="1:8" ht="27" customHeight="1">
      <c r="A26" s="30"/>
      <c r="B26" s="30" t="s">
        <v>281</v>
      </c>
      <c r="C26" s="201">
        <v>58</v>
      </c>
      <c r="D26" s="201">
        <v>58</v>
      </c>
      <c r="E26" s="201">
        <v>58</v>
      </c>
      <c r="F26" s="201">
        <v>58</v>
      </c>
      <c r="G26" s="201">
        <v>58</v>
      </c>
      <c r="H26" s="56" t="s">
        <v>282</v>
      </c>
    </row>
    <row r="27" spans="1:8" ht="19.5" customHeight="1">
      <c r="A27" s="30"/>
      <c r="B27" s="30" t="s">
        <v>283</v>
      </c>
      <c r="C27" s="57">
        <f>C17*C26</f>
        <v>3480</v>
      </c>
      <c r="D27" s="57">
        <f>D17*D26</f>
        <v>11600</v>
      </c>
      <c r="E27" s="57">
        <f>E17*E26</f>
        <v>26100</v>
      </c>
      <c r="F27" s="57">
        <f>F17*F26</f>
        <v>58000</v>
      </c>
      <c r="G27" s="57">
        <f>G17*G26</f>
        <v>75400</v>
      </c>
      <c r="H27" s="30" t="s">
        <v>236</v>
      </c>
    </row>
    <row r="28" spans="1:8" ht="19.5" customHeight="1">
      <c r="A28" s="30"/>
      <c r="B28" s="30" t="s">
        <v>284</v>
      </c>
      <c r="C28" s="201">
        <v>22</v>
      </c>
      <c r="D28" s="201">
        <v>22</v>
      </c>
      <c r="E28" s="201">
        <v>22</v>
      </c>
      <c r="F28" s="201">
        <v>22</v>
      </c>
      <c r="G28" s="201">
        <v>22</v>
      </c>
      <c r="H28" s="56" t="s">
        <v>285</v>
      </c>
    </row>
    <row r="29" spans="1:8" ht="19.5" customHeight="1">
      <c r="A29" s="30"/>
      <c r="B29" s="30" t="s">
        <v>286</v>
      </c>
      <c r="C29" s="57">
        <f>C17*C28</f>
        <v>1320</v>
      </c>
      <c r="D29" s="57">
        <f>D17*D28</f>
        <v>4400</v>
      </c>
      <c r="E29" s="57">
        <f>E17*E28</f>
        <v>9900</v>
      </c>
      <c r="F29" s="57">
        <f>F17*F28</f>
        <v>22000</v>
      </c>
      <c r="G29" s="57">
        <f>G17*G28</f>
        <v>28600</v>
      </c>
      <c r="H29" s="30" t="s">
        <v>236</v>
      </c>
    </row>
    <row r="30" spans="1:8" ht="19.5" customHeight="1">
      <c r="A30" s="30"/>
      <c r="B30" s="30" t="s">
        <v>287</v>
      </c>
      <c r="C30" s="201">
        <v>9</v>
      </c>
      <c r="D30" s="201">
        <v>9</v>
      </c>
      <c r="E30" s="201">
        <v>9</v>
      </c>
      <c r="F30" s="201">
        <v>9</v>
      </c>
      <c r="G30" s="201">
        <v>9</v>
      </c>
      <c r="H30" s="56" t="s">
        <v>245</v>
      </c>
    </row>
    <row r="31" spans="1:8" ht="19.5" customHeight="1">
      <c r="A31" s="30"/>
      <c r="B31" s="30" t="s">
        <v>288</v>
      </c>
      <c r="C31" s="57">
        <f>C17*C30</f>
        <v>540</v>
      </c>
      <c r="D31" s="57">
        <f>D17*D30</f>
        <v>1800</v>
      </c>
      <c r="E31" s="57">
        <f>E17*E30</f>
        <v>4050</v>
      </c>
      <c r="F31" s="57">
        <f>F17*F30</f>
        <v>9000</v>
      </c>
      <c r="G31" s="57">
        <f>G17*G30</f>
        <v>11700</v>
      </c>
      <c r="H31" s="30" t="s">
        <v>236</v>
      </c>
    </row>
    <row r="32" spans="1:8" ht="19.5" customHeight="1">
      <c r="A32" s="30"/>
      <c r="B32" s="30" t="s">
        <v>289</v>
      </c>
      <c r="C32" s="200">
        <v>12</v>
      </c>
      <c r="D32" s="200">
        <v>12</v>
      </c>
      <c r="E32" s="200">
        <v>12</v>
      </c>
      <c r="F32" s="200">
        <v>12</v>
      </c>
      <c r="G32" s="200">
        <v>12</v>
      </c>
      <c r="H32" s="56" t="s">
        <v>290</v>
      </c>
    </row>
    <row r="33" spans="1:8" ht="19.5" customHeight="1">
      <c r="A33" s="30"/>
      <c r="B33" s="30" t="s">
        <v>252</v>
      </c>
      <c r="C33" s="57">
        <f>C17*C32</f>
        <v>720</v>
      </c>
      <c r="D33" s="57">
        <f>D17*D32</f>
        <v>2400</v>
      </c>
      <c r="E33" s="57">
        <f>E17*E32</f>
        <v>5400</v>
      </c>
      <c r="F33" s="57">
        <f>F17*F32</f>
        <v>12000</v>
      </c>
      <c r="G33" s="57">
        <f>G17*G32</f>
        <v>15600</v>
      </c>
      <c r="H33" s="30" t="s">
        <v>236</v>
      </c>
    </row>
    <row r="34" spans="1:8" ht="19.5" customHeight="1">
      <c r="A34" s="30"/>
      <c r="B34" s="30" t="s">
        <v>291</v>
      </c>
      <c r="C34" s="200">
        <v>30</v>
      </c>
      <c r="D34" s="200">
        <v>30</v>
      </c>
      <c r="E34" s="200">
        <v>30</v>
      </c>
      <c r="F34" s="200">
        <v>30</v>
      </c>
      <c r="G34" s="200">
        <v>30</v>
      </c>
      <c r="H34" s="56" t="s">
        <v>292</v>
      </c>
    </row>
    <row r="35" spans="1:8" ht="19.5" customHeight="1">
      <c r="A35" s="30"/>
      <c r="B35" s="30" t="s">
        <v>293</v>
      </c>
      <c r="C35" s="57">
        <f>-C17*C34</f>
        <v>-1800</v>
      </c>
      <c r="D35" s="57">
        <f>-D17*D34</f>
        <v>-6000</v>
      </c>
      <c r="E35" s="57">
        <f>-E17*E34</f>
        <v>-13500</v>
      </c>
      <c r="F35" s="57">
        <f>-F17*F34</f>
        <v>-30000</v>
      </c>
      <c r="G35" s="57">
        <f>-G17*G34</f>
        <v>-39000</v>
      </c>
      <c r="H35" s="30" t="s">
        <v>236</v>
      </c>
    </row>
    <row r="36" spans="1:8" ht="19.5" customHeight="1">
      <c r="A36" s="30"/>
      <c r="B36" s="30" t="s">
        <v>294</v>
      </c>
      <c r="C36" s="200">
        <v>5000</v>
      </c>
      <c r="D36" s="200">
        <v>5000</v>
      </c>
      <c r="E36" s="200">
        <v>5000</v>
      </c>
      <c r="F36" s="200">
        <v>5000</v>
      </c>
      <c r="G36" s="200">
        <v>5000</v>
      </c>
      <c r="H36" s="56" t="s">
        <v>295</v>
      </c>
    </row>
    <row r="37" spans="1:8" ht="19.5" customHeight="1">
      <c r="A37" s="30"/>
      <c r="B37" s="30"/>
      <c r="C37" s="30"/>
      <c r="D37" s="30"/>
      <c r="E37" s="30"/>
      <c r="F37" s="30"/>
      <c r="G37" s="30"/>
      <c r="H37" s="30"/>
    </row>
    <row r="38" spans="1:8" ht="19.5" customHeight="1">
      <c r="A38" s="55" t="s">
        <v>133</v>
      </c>
      <c r="B38" s="287" t="s">
        <v>296</v>
      </c>
      <c r="C38" s="287"/>
      <c r="D38" s="287"/>
      <c r="E38" s="287"/>
      <c r="F38" s="287"/>
      <c r="G38" s="287"/>
      <c r="H38" s="30"/>
    </row>
    <row r="39" spans="1:8" ht="19.5" customHeight="1">
      <c r="A39" s="30"/>
      <c r="B39" s="30" t="s">
        <v>297</v>
      </c>
      <c r="C39" s="200">
        <v>30000</v>
      </c>
      <c r="D39" s="200">
        <v>0</v>
      </c>
      <c r="E39" s="200">
        <v>0</v>
      </c>
      <c r="F39" s="200">
        <v>0</v>
      </c>
      <c r="G39" s="200">
        <v>0</v>
      </c>
      <c r="H39" s="56" t="s">
        <v>298</v>
      </c>
    </row>
    <row r="40" spans="1:8" ht="19.5" customHeight="1">
      <c r="A40" s="30"/>
      <c r="B40" s="30" t="s">
        <v>299</v>
      </c>
      <c r="C40" s="200">
        <v>15000</v>
      </c>
      <c r="D40" s="200">
        <v>0</v>
      </c>
      <c r="E40" s="200">
        <v>0</v>
      </c>
      <c r="F40" s="200">
        <v>0</v>
      </c>
      <c r="G40" s="200">
        <v>0</v>
      </c>
      <c r="H40" s="56" t="s">
        <v>300</v>
      </c>
    </row>
    <row r="41" spans="1:8" ht="19.5" customHeight="1">
      <c r="A41" s="30"/>
      <c r="B41" s="30" t="s">
        <v>301</v>
      </c>
      <c r="C41" s="201">
        <v>18000</v>
      </c>
      <c r="D41" s="201">
        <v>0</v>
      </c>
      <c r="E41" s="201">
        <v>0</v>
      </c>
      <c r="F41" s="201">
        <v>0</v>
      </c>
      <c r="G41" s="201">
        <v>0</v>
      </c>
      <c r="H41" s="56" t="s">
        <v>302</v>
      </c>
    </row>
    <row r="42" spans="1:8" ht="19.5" customHeight="1">
      <c r="A42" s="30"/>
      <c r="B42" s="30" t="s">
        <v>196</v>
      </c>
      <c r="C42" s="200">
        <v>8000</v>
      </c>
      <c r="D42" s="200">
        <v>0</v>
      </c>
      <c r="E42" s="200">
        <v>0</v>
      </c>
      <c r="F42" s="200">
        <v>0</v>
      </c>
      <c r="G42" s="200">
        <v>0</v>
      </c>
      <c r="H42" s="56" t="s">
        <v>303</v>
      </c>
    </row>
    <row r="43" spans="1:8" ht="19.5" customHeight="1">
      <c r="A43" s="30"/>
      <c r="B43" s="30"/>
      <c r="C43" s="30"/>
      <c r="D43" s="30"/>
      <c r="E43" s="30"/>
      <c r="F43" s="30"/>
      <c r="G43" s="30"/>
      <c r="H43" s="30"/>
    </row>
    <row r="44" spans="1:8" ht="16.5" customHeight="1">
      <c r="A44" s="60" t="s">
        <v>198</v>
      </c>
      <c r="B44" s="288" t="s">
        <v>199</v>
      </c>
      <c r="C44" s="288"/>
      <c r="D44" s="288"/>
      <c r="E44" s="288"/>
      <c r="F44" s="288"/>
      <c r="G44" s="288"/>
      <c r="H44" s="30"/>
    </row>
    <row r="45" spans="1:8" ht="37.5" customHeight="1">
      <c r="A45" s="30"/>
      <c r="B45" s="30" t="s">
        <v>304</v>
      </c>
      <c r="C45" s="203">
        <v>0.55000000000000004</v>
      </c>
      <c r="D45" s="203">
        <v>0.55000000000000004</v>
      </c>
      <c r="E45" s="203">
        <v>0.55000000000000004</v>
      </c>
      <c r="F45" s="203">
        <v>0.55000000000000004</v>
      </c>
      <c r="G45" s="203">
        <v>0.55000000000000004</v>
      </c>
      <c r="H45" s="56" t="s">
        <v>305</v>
      </c>
    </row>
    <row r="46" spans="1:8" ht="19.5" customHeight="1">
      <c r="A46" s="30"/>
      <c r="B46" s="30" t="s">
        <v>306</v>
      </c>
      <c r="C46" s="200">
        <v>3</v>
      </c>
      <c r="D46" s="200">
        <v>3</v>
      </c>
      <c r="E46" s="200">
        <v>3</v>
      </c>
      <c r="F46" s="200">
        <v>3</v>
      </c>
      <c r="G46" s="200">
        <v>3</v>
      </c>
      <c r="H46" s="56" t="s">
        <v>307</v>
      </c>
    </row>
    <row r="47" spans="1:8" ht="19.5" customHeight="1">
      <c r="A47" s="30"/>
      <c r="B47" s="30" t="s">
        <v>308</v>
      </c>
      <c r="C47" s="202">
        <v>0.56000000000000005</v>
      </c>
      <c r="D47" s="202">
        <v>0.56000000000000005</v>
      </c>
      <c r="E47" s="202">
        <v>0.56000000000000005</v>
      </c>
      <c r="F47" s="202">
        <v>0.56000000000000005</v>
      </c>
      <c r="G47" s="202">
        <v>0.56000000000000005</v>
      </c>
      <c r="H47" s="56" t="s">
        <v>309</v>
      </c>
    </row>
    <row r="48" spans="1:8" ht="14.25" customHeight="1">
      <c r="A48" s="6" t="s">
        <v>153</v>
      </c>
    </row>
    <row r="49" spans="1:8" ht="18" customHeight="1">
      <c r="A49" s="212" t="s">
        <v>206</v>
      </c>
      <c r="B49" s="212"/>
      <c r="C49" s="212"/>
      <c r="D49" s="212"/>
      <c r="E49" s="212"/>
      <c r="F49" s="212"/>
      <c r="G49" s="212"/>
      <c r="H49" s="212"/>
    </row>
    <row r="50" spans="1:8" ht="15" customHeight="1">
      <c r="B50" s="63" t="s">
        <v>207</v>
      </c>
      <c r="C50" s="64">
        <f>ROUND(IF(C45=0,50,MIN(100,C45*100))*0.4+IF(C46=0,50,(5-C46)/4*100)*0.2+IF(C47=0,50,MIN(100,C47*100))*0.4,0)</f>
        <v>54</v>
      </c>
      <c r="H50" s="65" t="s">
        <v>208</v>
      </c>
    </row>
    <row r="51" spans="1:8" ht="14.25" customHeight="1">
      <c r="B51" s="63" t="s">
        <v>209</v>
      </c>
      <c r="C51" s="286" t="str">
        <f>IF($C$50&gt;=65,"🟢 High — projections are likely achievable",IF($C$50&gt;=40,"🟡 Medium — projections require market validation","🔴 Low — projections are aspirational; high uncertainty"))</f>
        <v>🟡 Medium — projections require market validation</v>
      </c>
      <c r="D51" s="286"/>
      <c r="E51" s="286"/>
      <c r="F51" s="286"/>
      <c r="G51" s="286"/>
    </row>
    <row r="52" spans="1:8" ht="14.25" customHeight="1">
      <c r="B52" s="66" t="s">
        <v>210</v>
      </c>
      <c r="C52" s="67">
        <f>IF($C$50&gt;=65,0.75,IF($C$50&gt;=40,0.6,0.45))</f>
        <v>0.6</v>
      </c>
      <c r="H52" s="65" t="s">
        <v>211</v>
      </c>
    </row>
    <row r="53" spans="1:8" ht="14.25" customHeight="1">
      <c r="B53" s="68" t="s">
        <v>212</v>
      </c>
      <c r="C53" s="69">
        <f>IF($C$50&gt;=65,1.25,IF($C$50&gt;=40,1.4,1.55))</f>
        <v>1.4</v>
      </c>
      <c r="H53" s="65" t="s">
        <v>213</v>
      </c>
    </row>
    <row r="55" spans="1:8" ht="18" customHeight="1">
      <c r="A55" s="212" t="s">
        <v>214</v>
      </c>
      <c r="B55" s="212"/>
      <c r="C55" s="212"/>
      <c r="D55" s="212"/>
      <c r="E55" s="212"/>
      <c r="F55" s="212"/>
      <c r="G55" s="212"/>
      <c r="H55" s="212"/>
    </row>
    <row r="56" spans="1:8" ht="14.25" customHeight="1">
      <c r="B56" s="70" t="s">
        <v>71</v>
      </c>
      <c r="C56" s="70" t="s">
        <v>94</v>
      </c>
      <c r="D56" s="70" t="s">
        <v>95</v>
      </c>
      <c r="E56" s="70" t="s">
        <v>96</v>
      </c>
      <c r="F56" s="70" t="s">
        <v>97</v>
      </c>
      <c r="G56" s="70" t="s">
        <v>98</v>
      </c>
    </row>
    <row r="57" spans="1:8" ht="14.25" customHeight="1">
      <c r="B57" s="71" t="s">
        <v>215</v>
      </c>
      <c r="C57" s="72">
        <f>C5*$C$52</f>
        <v>5616</v>
      </c>
      <c r="D57" s="72">
        <f>D5*$C$52</f>
        <v>18720</v>
      </c>
      <c r="E57" s="72">
        <f>E5*$C$52</f>
        <v>42120</v>
      </c>
      <c r="F57" s="72">
        <f>F5*$C$52</f>
        <v>93600</v>
      </c>
      <c r="G57" s="72">
        <f>G5*$C$52</f>
        <v>121680</v>
      </c>
    </row>
    <row r="58" spans="1:8" ht="14.25" customHeight="1">
      <c r="B58" s="73" t="s">
        <v>216</v>
      </c>
      <c r="C58" s="74">
        <f>C5</f>
        <v>9360</v>
      </c>
      <c r="D58" s="74">
        <f>D5</f>
        <v>31200</v>
      </c>
      <c r="E58" s="74">
        <f>E5</f>
        <v>70200</v>
      </c>
      <c r="F58" s="74">
        <f>F5</f>
        <v>156000</v>
      </c>
      <c r="G58" s="74">
        <f>G5</f>
        <v>202800</v>
      </c>
    </row>
    <row r="59" spans="1:8" ht="14.25" customHeight="1">
      <c r="B59" s="75" t="s">
        <v>217</v>
      </c>
      <c r="C59" s="76">
        <f>C5*$C$53</f>
        <v>13104</v>
      </c>
      <c r="D59" s="76">
        <f>D5*$C$53</f>
        <v>43680</v>
      </c>
      <c r="E59" s="76">
        <f>E5*$C$53</f>
        <v>98280</v>
      </c>
      <c r="F59" s="76">
        <f>F5*$C$53</f>
        <v>218400</v>
      </c>
      <c r="G59" s="76">
        <f>G5*$C$53</f>
        <v>283920</v>
      </c>
    </row>
    <row r="61" spans="1:8" ht="14.25" customHeight="1">
      <c r="B61" s="71" t="s">
        <v>218</v>
      </c>
      <c r="C61" s="72">
        <f>C57-C6</f>
        <v>-5204</v>
      </c>
      <c r="D61" s="72">
        <f>D57-D6</f>
        <v>-5680</v>
      </c>
      <c r="E61" s="72">
        <f>E57-E6</f>
        <v>-6530</v>
      </c>
      <c r="F61" s="72">
        <f>F57-F6</f>
        <v>-8400</v>
      </c>
      <c r="G61" s="72">
        <f>G57-G6</f>
        <v>-9420</v>
      </c>
    </row>
    <row r="62" spans="1:8" ht="14.25" customHeight="1">
      <c r="B62" s="73" t="s">
        <v>219</v>
      </c>
      <c r="C62" s="74">
        <f>C7</f>
        <v>-1460</v>
      </c>
      <c r="D62" s="74">
        <f>D7</f>
        <v>6800</v>
      </c>
      <c r="E62" s="74">
        <f>E7</f>
        <v>21550</v>
      </c>
      <c r="F62" s="74">
        <f>F7</f>
        <v>54000</v>
      </c>
      <c r="G62" s="74">
        <f>G7</f>
        <v>71700</v>
      </c>
    </row>
    <row r="63" spans="1:8" ht="14.25" customHeight="1">
      <c r="B63" s="75" t="s">
        <v>220</v>
      </c>
      <c r="C63" s="76">
        <f>C59-C6</f>
        <v>2284</v>
      </c>
      <c r="D63" s="76">
        <f>D59-D6</f>
        <v>19280</v>
      </c>
      <c r="E63" s="76">
        <f>E59-E6</f>
        <v>49630</v>
      </c>
      <c r="F63" s="76">
        <f>F59-F6</f>
        <v>116400</v>
      </c>
      <c r="G63" s="76">
        <f>G59-G6</f>
        <v>152820</v>
      </c>
    </row>
    <row r="65" spans="2:7" ht="14.25" customHeight="1">
      <c r="B65" s="71" t="s">
        <v>221</v>
      </c>
      <c r="C65" s="72">
        <f>C61-C8</f>
        <v>-76204</v>
      </c>
      <c r="D65" s="72">
        <f>D61-D8</f>
        <v>-5680</v>
      </c>
      <c r="E65" s="72">
        <f>E61-E8</f>
        <v>-6530</v>
      </c>
      <c r="F65" s="72">
        <f>F61-F8</f>
        <v>-8400</v>
      </c>
      <c r="G65" s="72">
        <f>G61-G8</f>
        <v>-9420</v>
      </c>
    </row>
    <row r="66" spans="2:7" ht="14.25" customHeight="1">
      <c r="B66" s="73" t="s">
        <v>222</v>
      </c>
      <c r="C66" s="74">
        <f>C9</f>
        <v>-72460</v>
      </c>
      <c r="D66" s="74">
        <f>D9</f>
        <v>6800</v>
      </c>
      <c r="E66" s="74">
        <f>E9</f>
        <v>21550</v>
      </c>
      <c r="F66" s="74">
        <f>F9</f>
        <v>54000</v>
      </c>
      <c r="G66" s="74">
        <f>G9</f>
        <v>71700</v>
      </c>
    </row>
    <row r="67" spans="2:7" ht="14.25" customHeight="1">
      <c r="B67" s="75" t="s">
        <v>223</v>
      </c>
      <c r="C67" s="76">
        <f>C63-C8</f>
        <v>-68716</v>
      </c>
      <c r="D67" s="76">
        <f>D63-D8</f>
        <v>19280</v>
      </c>
      <c r="E67" s="76">
        <f>E63-E8</f>
        <v>49630</v>
      </c>
      <c r="F67" s="76">
        <f>F63-F8</f>
        <v>116400</v>
      </c>
      <c r="G67" s="76">
        <f>G63-G8</f>
        <v>152820</v>
      </c>
    </row>
    <row r="69" spans="2:7" ht="14.25" customHeight="1">
      <c r="B69" s="77" t="s">
        <v>224</v>
      </c>
      <c r="C69" s="78">
        <f>C65</f>
        <v>-76204</v>
      </c>
      <c r="D69" s="78">
        <f>C69+D65</f>
        <v>-81884</v>
      </c>
      <c r="E69" s="78">
        <f>D69+E65</f>
        <v>-88414</v>
      </c>
      <c r="F69" s="78">
        <f>E69+F65</f>
        <v>-96814</v>
      </c>
      <c r="G69" s="78">
        <f>F69+G65</f>
        <v>-106234</v>
      </c>
    </row>
    <row r="70" spans="2:7" ht="14.25" customHeight="1">
      <c r="B70" s="73" t="s">
        <v>225</v>
      </c>
      <c r="C70" s="74">
        <f>C10</f>
        <v>-72460</v>
      </c>
      <c r="D70" s="74">
        <f>D10</f>
        <v>-65660</v>
      </c>
      <c r="E70" s="74">
        <f>E10</f>
        <v>-44110</v>
      </c>
      <c r="F70" s="74">
        <f>F10</f>
        <v>9890</v>
      </c>
      <c r="G70" s="74">
        <f>G10</f>
        <v>81590</v>
      </c>
    </row>
    <row r="71" spans="2:7" ht="14.25" customHeight="1">
      <c r="B71" s="79" t="s">
        <v>226</v>
      </c>
      <c r="C71" s="80">
        <f>C67</f>
        <v>-68716</v>
      </c>
      <c r="D71" s="80">
        <f>C71+D67</f>
        <v>-49436</v>
      </c>
      <c r="E71" s="80">
        <f>D71+E67</f>
        <v>194</v>
      </c>
      <c r="F71" s="80">
        <f>E71+F67</f>
        <v>116594</v>
      </c>
      <c r="G71" s="80">
        <f>F71+G67</f>
        <v>269414</v>
      </c>
    </row>
    <row r="73" spans="2:7" ht="14.25" customHeight="1">
      <c r="B73" s="81" t="s">
        <v>227</v>
      </c>
      <c r="C73" s="82" t="str">
        <f>IF(AND(C5=0,D5=0,E5=0,F5=0,G5=0),"— (not filled)",IF(G69&lt;0,"&gt;5 years",IF(C69&gt;=0,"Year 1",IF(D69&gt;=0,"Year 2",IF(E69&gt;=0,"Year 3",IF(F69&gt;=0,"Year 4","Year 5"))))))</f>
        <v>&gt;5 years</v>
      </c>
    </row>
    <row r="74" spans="2:7" ht="14.25" customHeight="1">
      <c r="B74" s="83" t="s">
        <v>228</v>
      </c>
      <c r="C74" s="84" t="str">
        <f>IF(AND(C5=0,D5=0,E5=0,F5=0,G5=0),"— (not filled)",IF(G70&lt;0,"&gt;5 years",IF(C70&gt;=0,"Year 1",IF(D70&gt;=0,"Year 2",IF(E70&gt;=0,"Year 3",IF(F70&gt;=0,"Year 4","Year 5"))))))</f>
        <v>Year 4</v>
      </c>
    </row>
    <row r="75" spans="2:7" ht="14.25" customHeight="1">
      <c r="B75" s="85" t="s">
        <v>229</v>
      </c>
      <c r="C75" s="86" t="str">
        <f>IF(AND(C5=0,D5=0,E5=0,F5=0,G5=0),"— (not filled)",IF(G71&lt;0,"&gt;5 years",IF(C71&gt;=0,"Year 1",IF(D71&gt;=0,"Year 2",IF(E71&gt;=0,"Year 3",IF(F71&gt;=0,"Year 4","Year 5"))))))</f>
        <v>Year 3</v>
      </c>
    </row>
  </sheetData>
  <mergeCells count="8">
    <mergeCell ref="A49:H49"/>
    <mergeCell ref="C51:G51"/>
    <mergeCell ref="A55:H55"/>
    <mergeCell ref="A1:H1"/>
    <mergeCell ref="B16:G16"/>
    <mergeCell ref="B21:G21"/>
    <mergeCell ref="B38:G38"/>
    <mergeCell ref="B44:G44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3"/>
  <sheetViews>
    <sheetView zoomScaleNormal="100" workbookViewId="0">
      <selection sqref="A1:H1"/>
    </sheetView>
  </sheetViews>
  <sheetFormatPr defaultColWidth="8.54296875" defaultRowHeight="14.5"/>
  <cols>
    <col min="1" max="1" width="28" customWidth="1"/>
    <col min="2" max="2" width="46" customWidth="1"/>
    <col min="3" max="6" width="18" customWidth="1"/>
    <col min="7" max="7" width="22" customWidth="1"/>
    <col min="8" max="8" width="60" customWidth="1"/>
  </cols>
  <sheetData>
    <row r="1" spans="1:8" ht="71" customHeight="1">
      <c r="A1" s="285" t="s">
        <v>310</v>
      </c>
      <c r="B1" s="285"/>
      <c r="C1" s="285"/>
      <c r="D1" s="285"/>
      <c r="E1" s="285"/>
      <c r="F1" s="285"/>
      <c r="G1" s="285"/>
      <c r="H1" s="285"/>
    </row>
    <row r="2" spans="1:8" ht="51" customHeight="1">
      <c r="A2" s="88"/>
      <c r="B2" s="89"/>
      <c r="C2" s="90"/>
      <c r="D2" s="90"/>
      <c r="E2" s="90"/>
      <c r="F2" s="90"/>
      <c r="G2" s="90"/>
      <c r="H2" s="89"/>
    </row>
    <row r="3" spans="1:8" ht="19.5" customHeight="1">
      <c r="A3" s="89"/>
      <c r="B3" s="91" t="s">
        <v>71</v>
      </c>
      <c r="C3" s="92" t="s">
        <v>72</v>
      </c>
      <c r="D3" s="92" t="s">
        <v>73</v>
      </c>
      <c r="E3" s="92" t="s">
        <v>74</v>
      </c>
      <c r="F3" s="92" t="s">
        <v>75</v>
      </c>
      <c r="G3" s="92" t="s">
        <v>76</v>
      </c>
      <c r="H3" s="91" t="s">
        <v>77</v>
      </c>
    </row>
    <row r="4" spans="1:8" ht="19.5" customHeight="1">
      <c r="A4" s="91" t="s">
        <v>78</v>
      </c>
      <c r="B4" s="89"/>
      <c r="C4" s="90"/>
      <c r="D4" s="90"/>
      <c r="E4" s="90"/>
      <c r="F4" s="90"/>
      <c r="G4" s="90"/>
      <c r="H4" s="89"/>
    </row>
    <row r="5" spans="1:8" ht="27" customHeight="1">
      <c r="A5" s="89"/>
      <c r="B5" s="93" t="s">
        <v>79</v>
      </c>
      <c r="C5" s="94">
        <f>SUM(C19,C22)</f>
        <v>59200</v>
      </c>
      <c r="D5" s="94">
        <f>SUM(D19,D22)</f>
        <v>106200</v>
      </c>
      <c r="E5" s="94">
        <f>SUM(E19,E22)</f>
        <v>206000</v>
      </c>
      <c r="F5" s="94">
        <f>SUM(F19,F22)</f>
        <v>417000</v>
      </c>
      <c r="G5" s="94">
        <f>SUM(G19,G22)</f>
        <v>506000</v>
      </c>
      <c r="H5" s="93" t="s">
        <v>311</v>
      </c>
    </row>
    <row r="6" spans="1:8" ht="19.5" customHeight="1">
      <c r="A6" s="89"/>
      <c r="B6" s="93" t="s">
        <v>81</v>
      </c>
      <c r="C6" s="94">
        <f>SUM(C26,C28,C30,C32,C34,C36,C38)</f>
        <v>15900</v>
      </c>
      <c r="D6" s="94">
        <f>SUM(D26,D28,D30,D32,D34,D36,D38)</f>
        <v>42400</v>
      </c>
      <c r="E6" s="94">
        <f>SUM(E26,E28,E30,E32,E34,E36,E38)</f>
        <v>79500</v>
      </c>
      <c r="F6" s="94">
        <f>SUM(F26,F28,F30,F32,F34,F36,F38)</f>
        <v>159000</v>
      </c>
      <c r="G6" s="94">
        <f>SUM(G26,G28,G30,G32,G34,G36,G38)</f>
        <v>208300</v>
      </c>
      <c r="H6" s="93" t="s">
        <v>82</v>
      </c>
    </row>
    <row r="7" spans="1:8" ht="19.5" customHeight="1">
      <c r="A7" s="89"/>
      <c r="B7" s="93" t="s">
        <v>83</v>
      </c>
      <c r="C7" s="94">
        <f>C5-C6</f>
        <v>43300</v>
      </c>
      <c r="D7" s="94">
        <f>D5-D6</f>
        <v>63800</v>
      </c>
      <c r="E7" s="94">
        <f>E5-E6</f>
        <v>126500</v>
      </c>
      <c r="F7" s="94">
        <f>F5-F6</f>
        <v>258000</v>
      </c>
      <c r="G7" s="94">
        <f>G5-G6</f>
        <v>297700</v>
      </c>
      <c r="H7" s="93" t="s">
        <v>84</v>
      </c>
    </row>
    <row r="8" spans="1:8" ht="19.5" customHeight="1">
      <c r="A8" s="89"/>
      <c r="B8" s="93" t="s">
        <v>85</v>
      </c>
      <c r="C8" s="94">
        <f>SUM(C41,C43,C44,C45,C46,C47)</f>
        <v>267500</v>
      </c>
      <c r="D8" s="94">
        <f>SUM(D41,D43,D44,D45,D46,D47)</f>
        <v>103700</v>
      </c>
      <c r="E8" s="94">
        <f>SUM(E41,E43,E44,E45,E46,E47)</f>
        <v>211300</v>
      </c>
      <c r="F8" s="94">
        <f>SUM(F41,F43,F44,F45,F46,F47)</f>
        <v>426500</v>
      </c>
      <c r="G8" s="94">
        <f>SUM(G41,G43,G44,G45,G46,G47)</f>
        <v>292000</v>
      </c>
      <c r="H8" s="93" t="s">
        <v>312</v>
      </c>
    </row>
    <row r="9" spans="1:8" ht="19.5" customHeight="1">
      <c r="A9" s="89"/>
      <c r="B9" s="93" t="s">
        <v>87</v>
      </c>
      <c r="C9" s="94">
        <f>C7-C8</f>
        <v>-224200</v>
      </c>
      <c r="D9" s="94">
        <f>D7-D8</f>
        <v>-39900</v>
      </c>
      <c r="E9" s="94">
        <f>E7-E8</f>
        <v>-84800</v>
      </c>
      <c r="F9" s="94">
        <f>F7-F8</f>
        <v>-168500</v>
      </c>
      <c r="G9" s="94">
        <f>G7-G8</f>
        <v>5700</v>
      </c>
      <c r="H9" s="93" t="s">
        <v>88</v>
      </c>
    </row>
    <row r="10" spans="1:8" ht="19.5" customHeight="1">
      <c r="A10" s="89"/>
      <c r="B10" s="93" t="s">
        <v>89</v>
      </c>
      <c r="C10" s="94">
        <f>SUM($C$9:C9)</f>
        <v>-224200</v>
      </c>
      <c r="D10" s="94">
        <f>SUM($C$9:D9)</f>
        <v>-264100</v>
      </c>
      <c r="E10" s="94">
        <f>SUM($C$9:E9)</f>
        <v>-348900</v>
      </c>
      <c r="F10" s="94">
        <f>SUM($C$9:F9)</f>
        <v>-517400</v>
      </c>
      <c r="G10" s="94">
        <f>SUM($C$9:G9)</f>
        <v>-511700</v>
      </c>
      <c r="H10" s="93" t="s">
        <v>90</v>
      </c>
    </row>
    <row r="11" spans="1:8" ht="19.5" customHeight="1">
      <c r="A11" s="89"/>
      <c r="B11" s="93" t="s">
        <v>91</v>
      </c>
      <c r="C11" s="95" t="str">
        <f>IF(AND(C5=0,D5=0,E5=0,F5=0,G5=0),"— (not filled)",IF(G10&lt;0,"&gt;5 years",IF(C10&gt;=0,"Year 1",IF(D10&gt;=0,"Year 2",IF(E10&gt;=0,"Year 3",IF(F10&gt;=0,"Year 4","Year 5"))))))</f>
        <v>&gt;5 years</v>
      </c>
      <c r="D11" s="96"/>
      <c r="E11" s="96"/>
      <c r="F11" s="96"/>
      <c r="G11" s="96"/>
      <c r="H11" s="97" t="s">
        <v>313</v>
      </c>
    </row>
    <row r="12" spans="1:8" ht="19.5" customHeight="1">
      <c r="A12" s="89"/>
      <c r="B12" s="89"/>
      <c r="C12" s="90"/>
      <c r="D12" s="90"/>
      <c r="E12" s="90"/>
      <c r="F12" s="90"/>
      <c r="G12" s="90"/>
      <c r="H12" s="89"/>
    </row>
    <row r="13" spans="1:8" ht="19.5" customHeight="1">
      <c r="A13" s="89"/>
      <c r="B13" s="89"/>
      <c r="C13" s="90"/>
      <c r="D13" s="90"/>
      <c r="E13" s="90"/>
      <c r="F13" s="90"/>
      <c r="G13" s="90"/>
      <c r="H13" s="89"/>
    </row>
    <row r="14" spans="1:8" ht="19.5" customHeight="1">
      <c r="A14" s="91" t="s">
        <v>92</v>
      </c>
      <c r="B14" s="91" t="s">
        <v>93</v>
      </c>
      <c r="C14" s="98" t="s">
        <v>94</v>
      </c>
      <c r="D14" s="98" t="s">
        <v>95</v>
      </c>
      <c r="E14" s="98" t="s">
        <v>96</v>
      </c>
      <c r="F14" s="98" t="s">
        <v>97</v>
      </c>
      <c r="G14" s="98" t="s">
        <v>98</v>
      </c>
      <c r="H14" s="91" t="s">
        <v>77</v>
      </c>
    </row>
    <row r="15" spans="1:8" ht="19.5" customHeight="1">
      <c r="A15" s="89"/>
      <c r="B15" s="89"/>
      <c r="C15" s="90"/>
      <c r="D15" s="90"/>
      <c r="E15" s="90"/>
      <c r="F15" s="90"/>
      <c r="G15" s="90"/>
      <c r="H15" s="89"/>
    </row>
    <row r="16" spans="1:8" ht="19.5" customHeight="1">
      <c r="A16" s="91" t="s">
        <v>99</v>
      </c>
      <c r="B16" s="99" t="s">
        <v>314</v>
      </c>
      <c r="H16" s="89"/>
    </row>
    <row r="17" spans="1:8" ht="19.5" customHeight="1">
      <c r="A17" s="89"/>
      <c r="B17" s="89" t="s">
        <v>315</v>
      </c>
      <c r="C17" s="204">
        <v>300</v>
      </c>
      <c r="D17" s="204">
        <v>800</v>
      </c>
      <c r="E17" s="204">
        <v>1500</v>
      </c>
      <c r="F17" s="205">
        <v>3000</v>
      </c>
      <c r="G17" s="204">
        <v>4000</v>
      </c>
      <c r="H17" s="102" t="s">
        <v>316</v>
      </c>
    </row>
    <row r="18" spans="1:8" ht="19.5" customHeight="1">
      <c r="A18" s="89"/>
      <c r="B18" s="89" t="s">
        <v>317</v>
      </c>
      <c r="C18" s="206">
        <v>9.5</v>
      </c>
      <c r="D18" s="206">
        <v>9.5</v>
      </c>
      <c r="E18" s="206">
        <v>9.5</v>
      </c>
      <c r="F18" s="206">
        <v>9.5</v>
      </c>
      <c r="G18" s="206">
        <v>9.5</v>
      </c>
      <c r="H18" s="102" t="s">
        <v>318</v>
      </c>
    </row>
    <row r="19" spans="1:8" ht="19.5" customHeight="1">
      <c r="A19" s="89"/>
      <c r="B19" s="89" t="s">
        <v>314</v>
      </c>
      <c r="C19" s="94">
        <f>C17*C18*12</f>
        <v>34200</v>
      </c>
      <c r="D19" s="94">
        <f>D17*D18*12</f>
        <v>91200</v>
      </c>
      <c r="E19" s="94">
        <f>E17*E18*12</f>
        <v>171000</v>
      </c>
      <c r="F19" s="94">
        <f>F17*F18*12</f>
        <v>342000</v>
      </c>
      <c r="G19" s="94">
        <f>G17*G18*12</f>
        <v>456000</v>
      </c>
      <c r="H19" s="208" t="s">
        <v>106</v>
      </c>
    </row>
    <row r="20" spans="1:8" ht="34.5" customHeight="1">
      <c r="A20" s="89"/>
      <c r="B20" s="89" t="s">
        <v>319</v>
      </c>
      <c r="C20" s="204">
        <v>50</v>
      </c>
      <c r="D20" s="204">
        <v>50</v>
      </c>
      <c r="E20" s="204">
        <v>50</v>
      </c>
      <c r="F20" s="204">
        <v>50</v>
      </c>
      <c r="G20" s="204">
        <v>50</v>
      </c>
      <c r="H20" s="102" t="s">
        <v>320</v>
      </c>
    </row>
    <row r="21" spans="1:8" ht="19.5" customHeight="1">
      <c r="A21" s="89"/>
      <c r="B21" s="89" t="s">
        <v>321</v>
      </c>
      <c r="C21" s="205">
        <v>500</v>
      </c>
      <c r="D21" s="204">
        <v>300</v>
      </c>
      <c r="E21" s="204">
        <v>700</v>
      </c>
      <c r="F21" s="204">
        <v>1500</v>
      </c>
      <c r="G21" s="204">
        <v>1000</v>
      </c>
      <c r="H21" s="102" t="s">
        <v>322</v>
      </c>
    </row>
    <row r="22" spans="1:8" ht="19.5" customHeight="1">
      <c r="A22" s="89"/>
      <c r="B22" s="89" t="s">
        <v>323</v>
      </c>
      <c r="C22" s="94">
        <f>C20*C21</f>
        <v>25000</v>
      </c>
      <c r="D22" s="94">
        <f>D20*D21</f>
        <v>15000</v>
      </c>
      <c r="E22" s="94">
        <f>E20*E21</f>
        <v>35000</v>
      </c>
      <c r="F22" s="94">
        <f>F20*F21</f>
        <v>75000</v>
      </c>
      <c r="G22" s="94">
        <f>G20*G21</f>
        <v>50000</v>
      </c>
      <c r="H22" s="208" t="s">
        <v>106</v>
      </c>
    </row>
    <row r="23" spans="1:8" ht="19.5" customHeight="1">
      <c r="A23" s="89"/>
      <c r="B23" s="89"/>
      <c r="C23" s="103"/>
      <c r="D23" s="103"/>
      <c r="E23" s="103"/>
      <c r="F23" s="103"/>
      <c r="G23" s="103"/>
      <c r="H23" s="104"/>
    </row>
    <row r="24" spans="1:8" ht="19.5" customHeight="1">
      <c r="A24" s="91" t="s">
        <v>112</v>
      </c>
      <c r="B24" s="99" t="s">
        <v>324</v>
      </c>
      <c r="C24" s="105"/>
      <c r="D24" s="105"/>
      <c r="E24" s="105"/>
      <c r="F24" s="105"/>
      <c r="G24" s="105"/>
      <c r="H24" s="89"/>
    </row>
    <row r="25" spans="1:8" ht="19.5" customHeight="1">
      <c r="A25" s="89"/>
      <c r="B25" s="89" t="s">
        <v>325</v>
      </c>
      <c r="C25" s="204">
        <v>35</v>
      </c>
      <c r="D25" s="204">
        <v>35</v>
      </c>
      <c r="E25" s="204">
        <v>35</v>
      </c>
      <c r="F25" s="204">
        <v>35</v>
      </c>
      <c r="G25" s="204">
        <v>35</v>
      </c>
      <c r="H25" s="102" t="s">
        <v>326</v>
      </c>
    </row>
    <row r="26" spans="1:8" ht="19.5" customHeight="1">
      <c r="A26" s="89"/>
      <c r="B26" s="89" t="s">
        <v>327</v>
      </c>
      <c r="C26" s="94">
        <f>C17*C25</f>
        <v>10500</v>
      </c>
      <c r="D26" s="94">
        <f>D17*D25</f>
        <v>28000</v>
      </c>
      <c r="E26" s="94">
        <f>E17*E25</f>
        <v>52500</v>
      </c>
      <c r="F26" s="94">
        <f>F17*F25</f>
        <v>105000</v>
      </c>
      <c r="G26" s="94">
        <f>G17*G25</f>
        <v>140000</v>
      </c>
      <c r="H26" s="208" t="s">
        <v>106</v>
      </c>
    </row>
    <row r="27" spans="1:8" ht="19.5" customHeight="1">
      <c r="A27" s="89"/>
      <c r="B27" s="89" t="s">
        <v>328</v>
      </c>
      <c r="C27" s="204">
        <v>8</v>
      </c>
      <c r="D27" s="204">
        <v>8</v>
      </c>
      <c r="E27" s="204">
        <v>8</v>
      </c>
      <c r="F27" s="204">
        <v>8</v>
      </c>
      <c r="G27" s="204">
        <v>8</v>
      </c>
      <c r="H27" s="106" t="s">
        <v>329</v>
      </c>
    </row>
    <row r="28" spans="1:8" ht="19.5" customHeight="1">
      <c r="A28" s="107"/>
      <c r="B28" s="108" t="s">
        <v>330</v>
      </c>
      <c r="C28" s="109">
        <f>C17*C27</f>
        <v>2400</v>
      </c>
      <c r="D28" s="109">
        <f>D17*D27</f>
        <v>6400</v>
      </c>
      <c r="E28" s="109">
        <f>E17*E27</f>
        <v>12000</v>
      </c>
      <c r="F28" s="109">
        <f>F17*F27</f>
        <v>24000</v>
      </c>
      <c r="G28" s="109">
        <f>G17*G27</f>
        <v>32000</v>
      </c>
      <c r="H28" s="208" t="s">
        <v>106</v>
      </c>
    </row>
    <row r="29" spans="1:8" ht="19.5" customHeight="1">
      <c r="A29" s="89"/>
      <c r="B29" s="89" t="s">
        <v>331</v>
      </c>
      <c r="C29" s="204">
        <v>3</v>
      </c>
      <c r="D29" s="204">
        <v>3</v>
      </c>
      <c r="E29" s="204">
        <v>3</v>
      </c>
      <c r="F29" s="204">
        <v>3</v>
      </c>
      <c r="G29" s="204">
        <v>3</v>
      </c>
      <c r="H29" s="102" t="s">
        <v>332</v>
      </c>
    </row>
    <row r="30" spans="1:8" ht="19.5" customHeight="1">
      <c r="A30" s="89"/>
      <c r="B30" s="89" t="s">
        <v>333</v>
      </c>
      <c r="C30" s="94">
        <f>C17*C29</f>
        <v>900</v>
      </c>
      <c r="D30" s="94">
        <f>D17*D29</f>
        <v>2400</v>
      </c>
      <c r="E30" s="94">
        <f>E17*E29</f>
        <v>4500</v>
      </c>
      <c r="F30" s="94">
        <f>F17*F29</f>
        <v>9000</v>
      </c>
      <c r="G30" s="94">
        <f>G17*G29</f>
        <v>12000</v>
      </c>
      <c r="H30" s="89" t="s">
        <v>106</v>
      </c>
    </row>
    <row r="31" spans="1:8" ht="25.5" customHeight="1">
      <c r="A31" s="89"/>
      <c r="B31" s="89" t="s">
        <v>334</v>
      </c>
      <c r="C31" s="205">
        <v>58</v>
      </c>
      <c r="D31" s="205">
        <v>58</v>
      </c>
      <c r="E31" s="205">
        <v>58</v>
      </c>
      <c r="F31" s="205">
        <v>58</v>
      </c>
      <c r="G31" s="205">
        <v>58</v>
      </c>
      <c r="H31" s="102" t="s">
        <v>335</v>
      </c>
    </row>
    <row r="32" spans="1:8" ht="19.5" customHeight="1">
      <c r="A32" s="89"/>
      <c r="B32" s="89" t="s">
        <v>336</v>
      </c>
      <c r="C32" s="94">
        <f>C55*C31</f>
        <v>0</v>
      </c>
      <c r="D32" s="94">
        <f>D55*D31</f>
        <v>0</v>
      </c>
      <c r="E32" s="94">
        <f>E55*E31</f>
        <v>0</v>
      </c>
      <c r="F32" s="94">
        <f>F55*F31</f>
        <v>0</v>
      </c>
      <c r="G32" s="94">
        <f>G55*G31</f>
        <v>5800</v>
      </c>
      <c r="H32" s="89" t="s">
        <v>337</v>
      </c>
    </row>
    <row r="33" spans="1:8" ht="22.5" customHeight="1">
      <c r="A33" s="89"/>
      <c r="B33" s="89" t="s">
        <v>338</v>
      </c>
      <c r="C33" s="204">
        <v>5</v>
      </c>
      <c r="D33" s="204">
        <v>5</v>
      </c>
      <c r="E33" s="204">
        <v>5</v>
      </c>
      <c r="F33" s="204">
        <v>5</v>
      </c>
      <c r="G33" s="204">
        <v>5</v>
      </c>
      <c r="H33" s="102" t="s">
        <v>339</v>
      </c>
    </row>
    <row r="34" spans="1:8" ht="19.5" customHeight="1">
      <c r="A34" s="89"/>
      <c r="B34" s="89" t="s">
        <v>340</v>
      </c>
      <c r="C34" s="94">
        <f>C17*C33</f>
        <v>1500</v>
      </c>
      <c r="D34" s="94">
        <f>D17*D33</f>
        <v>4000</v>
      </c>
      <c r="E34" s="94">
        <f>E17*E33</f>
        <v>7500</v>
      </c>
      <c r="F34" s="94">
        <f>F17*F33</f>
        <v>15000</v>
      </c>
      <c r="G34" s="94">
        <f>G17*G33</f>
        <v>20000</v>
      </c>
      <c r="H34" s="89" t="s">
        <v>106</v>
      </c>
    </row>
    <row r="35" spans="1:8" ht="19.5" customHeight="1">
      <c r="A35" s="89"/>
      <c r="B35" s="89" t="s">
        <v>341</v>
      </c>
      <c r="C35" s="204">
        <v>2</v>
      </c>
      <c r="D35" s="204">
        <v>2</v>
      </c>
      <c r="E35" s="204">
        <v>2</v>
      </c>
      <c r="F35" s="204">
        <v>2</v>
      </c>
      <c r="G35" s="204">
        <v>2</v>
      </c>
      <c r="H35" s="102" t="s">
        <v>342</v>
      </c>
    </row>
    <row r="36" spans="1:8" ht="19.5" customHeight="1">
      <c r="A36" s="89"/>
      <c r="B36" s="89" t="s">
        <v>132</v>
      </c>
      <c r="C36" s="110">
        <f>C17*C35</f>
        <v>600</v>
      </c>
      <c r="D36" s="110">
        <f>D17*D35</f>
        <v>1600</v>
      </c>
      <c r="E36" s="110">
        <f>E17*E35</f>
        <v>3000</v>
      </c>
      <c r="F36" s="110">
        <f>F17*F35</f>
        <v>6000</v>
      </c>
      <c r="G36" s="110">
        <f>G17*G35</f>
        <v>8000</v>
      </c>
      <c r="H36" s="209" t="s">
        <v>106</v>
      </c>
    </row>
    <row r="37" spans="1:8" ht="19.5" customHeight="1">
      <c r="A37" s="89"/>
      <c r="B37" s="89" t="s">
        <v>343</v>
      </c>
      <c r="C37" s="204">
        <v>95</v>
      </c>
      <c r="D37" s="204">
        <v>95</v>
      </c>
      <c r="E37" s="204">
        <v>95</v>
      </c>
      <c r="F37" s="204">
        <v>95</v>
      </c>
      <c r="G37" s="204">
        <v>95</v>
      </c>
      <c r="H37" s="112" t="s">
        <v>344</v>
      </c>
    </row>
    <row r="38" spans="1:8" ht="19.5" customHeight="1">
      <c r="A38" s="89"/>
      <c r="B38" s="89" t="s">
        <v>345</v>
      </c>
      <c r="C38" s="110">
        <f>-C37*C55</f>
        <v>0</v>
      </c>
      <c r="D38" s="110">
        <f>-D37*D55</f>
        <v>0</v>
      </c>
      <c r="E38" s="110">
        <f>-E37*E55</f>
        <v>0</v>
      </c>
      <c r="F38" s="110">
        <f>-F37*F55</f>
        <v>0</v>
      </c>
      <c r="G38" s="110">
        <f>-G37*G55</f>
        <v>-9500</v>
      </c>
      <c r="H38" s="102" t="s">
        <v>346</v>
      </c>
    </row>
    <row r="39" spans="1:8" ht="19.5" customHeight="1">
      <c r="A39" s="89"/>
      <c r="B39" s="89"/>
      <c r="C39" s="90"/>
      <c r="D39" s="90"/>
      <c r="E39" s="90"/>
      <c r="F39" s="90"/>
      <c r="G39" s="90"/>
      <c r="H39" s="89"/>
    </row>
    <row r="40" spans="1:8" ht="19.5" customHeight="1">
      <c r="A40" s="91" t="s">
        <v>133</v>
      </c>
      <c r="B40" s="99" t="s">
        <v>191</v>
      </c>
      <c r="H40" s="89"/>
    </row>
    <row r="41" spans="1:8" ht="19.5" customHeight="1">
      <c r="A41" s="89"/>
      <c r="B41" s="89" t="s">
        <v>347</v>
      </c>
      <c r="C41" s="204">
        <v>134500</v>
      </c>
      <c r="D41" s="204">
        <v>80700</v>
      </c>
      <c r="E41" s="204">
        <v>188300</v>
      </c>
      <c r="F41" s="204">
        <v>403500</v>
      </c>
      <c r="G41" s="204">
        <v>269000</v>
      </c>
      <c r="H41" s="102" t="s">
        <v>348</v>
      </c>
    </row>
    <row r="42" spans="1:8" ht="19.5" customHeight="1">
      <c r="A42" s="89"/>
      <c r="B42" s="89" t="s">
        <v>349</v>
      </c>
      <c r="C42" s="204">
        <v>500</v>
      </c>
      <c r="D42" s="204">
        <v>300</v>
      </c>
      <c r="E42" s="204">
        <v>700</v>
      </c>
      <c r="F42" s="204">
        <v>1500</v>
      </c>
      <c r="G42" s="204">
        <v>1000</v>
      </c>
      <c r="H42" s="102" t="s">
        <v>350</v>
      </c>
    </row>
    <row r="43" spans="1:8" ht="19.5" customHeight="1">
      <c r="A43" s="89"/>
      <c r="B43" s="89" t="s">
        <v>351</v>
      </c>
      <c r="C43" s="204">
        <v>45000</v>
      </c>
      <c r="D43" s="204">
        <v>18000</v>
      </c>
      <c r="E43" s="204">
        <v>18000</v>
      </c>
      <c r="F43" s="204">
        <v>18000</v>
      </c>
      <c r="G43" s="204">
        <v>18000</v>
      </c>
      <c r="H43" s="102" t="s">
        <v>352</v>
      </c>
    </row>
    <row r="44" spans="1:8" ht="19.5" customHeight="1">
      <c r="A44" s="89"/>
      <c r="B44" s="89" t="s">
        <v>353</v>
      </c>
      <c r="C44" s="204">
        <v>20000</v>
      </c>
      <c r="D44" s="204">
        <v>5000</v>
      </c>
      <c r="E44" s="204">
        <v>5000</v>
      </c>
      <c r="F44" s="204">
        <v>5000</v>
      </c>
      <c r="G44" s="204">
        <v>5000</v>
      </c>
      <c r="H44" s="102" t="s">
        <v>354</v>
      </c>
    </row>
    <row r="45" spans="1:8" ht="19.5" customHeight="1">
      <c r="A45" s="107"/>
      <c r="B45" s="108" t="s">
        <v>355</v>
      </c>
      <c r="C45" s="207">
        <v>35000</v>
      </c>
      <c r="D45" s="207">
        <v>0</v>
      </c>
      <c r="E45" s="207">
        <v>0</v>
      </c>
      <c r="F45" s="207">
        <v>0</v>
      </c>
      <c r="G45" s="207">
        <v>0</v>
      </c>
      <c r="H45" s="102" t="s">
        <v>356</v>
      </c>
    </row>
    <row r="46" spans="1:8" ht="19.5" customHeight="1">
      <c r="A46" s="89"/>
      <c r="B46" s="89" t="s">
        <v>357</v>
      </c>
      <c r="C46" s="205">
        <v>18000</v>
      </c>
      <c r="D46" s="205">
        <v>0</v>
      </c>
      <c r="E46" s="205">
        <v>0</v>
      </c>
      <c r="F46" s="205">
        <v>0</v>
      </c>
      <c r="G46" s="205">
        <v>0</v>
      </c>
      <c r="H46" s="102" t="s">
        <v>358</v>
      </c>
    </row>
    <row r="47" spans="1:8" ht="19.5" customHeight="1">
      <c r="A47" s="89"/>
      <c r="B47" s="89" t="s">
        <v>196</v>
      </c>
      <c r="C47" s="204">
        <v>15000</v>
      </c>
      <c r="D47" s="204">
        <v>0</v>
      </c>
      <c r="E47" s="204">
        <v>0</v>
      </c>
      <c r="F47" s="204">
        <v>0</v>
      </c>
      <c r="G47" s="204">
        <v>0</v>
      </c>
      <c r="H47" s="102" t="s">
        <v>359</v>
      </c>
    </row>
    <row r="48" spans="1:8" ht="19.5" customHeight="1">
      <c r="A48" s="89"/>
      <c r="B48" s="89"/>
      <c r="C48" s="114"/>
      <c r="D48" s="114"/>
      <c r="E48" s="114"/>
      <c r="F48" s="114"/>
      <c r="G48" s="114"/>
      <c r="H48" s="111"/>
    </row>
    <row r="49" spans="1:8" ht="14.25" customHeight="1">
      <c r="A49" s="115" t="s">
        <v>198</v>
      </c>
      <c r="B49" s="116" t="s">
        <v>199</v>
      </c>
      <c r="C49" s="117"/>
      <c r="D49" s="117"/>
      <c r="E49" s="117"/>
      <c r="F49" s="117"/>
      <c r="G49" s="117"/>
      <c r="H49" s="118"/>
    </row>
    <row r="50" spans="1:8" ht="14.25" customHeight="1">
      <c r="A50" s="119"/>
      <c r="B50" s="119" t="s">
        <v>360</v>
      </c>
      <c r="C50" s="101">
        <v>48</v>
      </c>
      <c r="D50" s="101">
        <v>48</v>
      </c>
      <c r="E50" s="101">
        <v>48</v>
      </c>
      <c r="F50" s="101">
        <v>48</v>
      </c>
      <c r="G50" s="101">
        <v>48</v>
      </c>
      <c r="H50" s="106" t="s">
        <v>361</v>
      </c>
    </row>
    <row r="51" spans="1:8" ht="14.25" customHeight="1">
      <c r="A51" s="119"/>
      <c r="B51" s="119" t="s">
        <v>362</v>
      </c>
      <c r="C51" s="120">
        <v>0.85</v>
      </c>
      <c r="D51" s="120">
        <v>0.85</v>
      </c>
      <c r="E51" s="120">
        <v>0.85</v>
      </c>
      <c r="F51" s="120">
        <v>0.85</v>
      </c>
      <c r="G51" s="120">
        <v>0.85</v>
      </c>
      <c r="H51" s="106" t="s">
        <v>363</v>
      </c>
    </row>
    <row r="52" spans="1:8" ht="14.25" customHeight="1">
      <c r="A52" s="119"/>
      <c r="B52" s="119" t="s">
        <v>364</v>
      </c>
      <c r="C52" s="121">
        <v>0.23</v>
      </c>
      <c r="D52" s="121">
        <v>0.23</v>
      </c>
      <c r="E52" s="121">
        <v>0.23</v>
      </c>
      <c r="F52" s="121">
        <v>0.23</v>
      </c>
      <c r="G52" s="121">
        <v>0.23</v>
      </c>
      <c r="H52" s="106" t="s">
        <v>365</v>
      </c>
    </row>
    <row r="53" spans="1:8" ht="28.5" customHeight="1">
      <c r="A53" s="119"/>
      <c r="B53" s="119" t="s">
        <v>366</v>
      </c>
      <c r="C53" s="100">
        <v>2</v>
      </c>
      <c r="D53" s="100">
        <v>2</v>
      </c>
      <c r="E53" s="100">
        <v>2</v>
      </c>
      <c r="F53" s="100">
        <v>2</v>
      </c>
      <c r="G53" s="100">
        <v>2</v>
      </c>
      <c r="H53" s="106" t="s">
        <v>367</v>
      </c>
    </row>
    <row r="54" spans="1:8" ht="14.25" customHeight="1">
      <c r="A54" s="119"/>
      <c r="B54" s="119" t="s">
        <v>368</v>
      </c>
      <c r="C54" s="100">
        <v>4</v>
      </c>
      <c r="D54" s="100">
        <v>4</v>
      </c>
      <c r="E54" s="100">
        <v>4</v>
      </c>
      <c r="F54" s="100">
        <v>4</v>
      </c>
      <c r="G54" s="100">
        <v>4</v>
      </c>
      <c r="H54" s="106" t="s">
        <v>369</v>
      </c>
    </row>
    <row r="55" spans="1:8" ht="14.25" customHeight="1">
      <c r="B55" t="s">
        <v>370</v>
      </c>
      <c r="C55" s="113">
        <v>0</v>
      </c>
      <c r="D55" s="113">
        <v>0</v>
      </c>
      <c r="E55" s="113">
        <v>0</v>
      </c>
      <c r="F55" s="113">
        <v>0</v>
      </c>
      <c r="G55" s="113">
        <v>100</v>
      </c>
      <c r="H55" s="106" t="s">
        <v>371</v>
      </c>
    </row>
    <row r="56" spans="1:8" ht="14.25" customHeight="1">
      <c r="A56" s="6" t="s">
        <v>153</v>
      </c>
    </row>
    <row r="57" spans="1:8" ht="18" customHeight="1">
      <c r="A57" s="212" t="s">
        <v>206</v>
      </c>
      <c r="B57" s="212"/>
      <c r="C57" s="212"/>
      <c r="D57" s="212"/>
      <c r="E57" s="212"/>
      <c r="F57" s="212"/>
      <c r="G57" s="212"/>
      <c r="H57" s="212"/>
    </row>
    <row r="58" spans="1:8" ht="15" customHeight="1">
      <c r="B58" s="63" t="s">
        <v>207</v>
      </c>
      <c r="C58" s="64">
        <f>ROUND(IF(C50=0,50,MIN(100,C50/12*100))*0.15+IF(C51=0,50,MIN(100,C51*100))*0.25+IF(C52=0,50,MIN(100,C52*100))*0.3+IF(C53=0,50,(C53-1)/4*100)*0.15+IF(C54=0,50,(5-C54)/4*100)*0.15,0)</f>
        <v>51</v>
      </c>
      <c r="H58" s="65" t="s">
        <v>208</v>
      </c>
    </row>
    <row r="59" spans="1:8" ht="14.25" customHeight="1">
      <c r="B59" s="63" t="s">
        <v>209</v>
      </c>
      <c r="C59" s="286" t="str">
        <f>IF($C$58&gt;=65,"🟢 High — projections are likely achievable",IF($C$58&gt;=40,"🟡 Medium — projections require market validation","🔴 Low — projections are aspirational; high uncertainty"))</f>
        <v>🟡 Medium — projections require market validation</v>
      </c>
      <c r="D59" s="286"/>
      <c r="E59" s="286"/>
      <c r="F59" s="286"/>
      <c r="G59" s="286"/>
    </row>
    <row r="60" spans="1:8" ht="14.25" customHeight="1">
      <c r="B60" s="66" t="s">
        <v>210</v>
      </c>
      <c r="C60" s="67">
        <f>IF($C$58&gt;=65,0.75,IF($C$58&gt;=40,0.6,0.45))</f>
        <v>0.6</v>
      </c>
      <c r="H60" s="65" t="s">
        <v>211</v>
      </c>
    </row>
    <row r="61" spans="1:8" ht="14.25" customHeight="1">
      <c r="B61" s="68" t="s">
        <v>212</v>
      </c>
      <c r="C61" s="69">
        <f>IF($C$58&gt;=65,1.25,IF($C$58&gt;=40,1.4,1.55))</f>
        <v>1.4</v>
      </c>
      <c r="H61" s="65" t="s">
        <v>213</v>
      </c>
    </row>
    <row r="63" spans="1:8" ht="18" customHeight="1">
      <c r="A63" s="212" t="s">
        <v>214</v>
      </c>
      <c r="B63" s="212"/>
      <c r="C63" s="212"/>
      <c r="D63" s="212"/>
      <c r="E63" s="212"/>
      <c r="F63" s="212"/>
      <c r="G63" s="212"/>
      <c r="H63" s="212"/>
    </row>
    <row r="64" spans="1:8" ht="14.25" customHeight="1">
      <c r="B64" s="70" t="s">
        <v>71</v>
      </c>
      <c r="C64" s="70" t="s">
        <v>94</v>
      </c>
      <c r="D64" s="70" t="s">
        <v>95</v>
      </c>
      <c r="E64" s="70" t="s">
        <v>96</v>
      </c>
      <c r="F64" s="70" t="s">
        <v>97</v>
      </c>
      <c r="G64" s="70" t="s">
        <v>98</v>
      </c>
    </row>
    <row r="65" spans="2:7" ht="14.25" customHeight="1">
      <c r="B65" s="71" t="s">
        <v>215</v>
      </c>
      <c r="C65" s="72">
        <f>C5*$C$60</f>
        <v>35520</v>
      </c>
      <c r="D65" s="72">
        <f>D5*$C$60</f>
        <v>63720</v>
      </c>
      <c r="E65" s="72">
        <f>E5*$C$60</f>
        <v>123600</v>
      </c>
      <c r="F65" s="72">
        <f>F5*$C$60</f>
        <v>250200</v>
      </c>
      <c r="G65" s="72">
        <f>G5*$C$60</f>
        <v>303600</v>
      </c>
    </row>
    <row r="66" spans="2:7" ht="14.25" customHeight="1">
      <c r="B66" s="73" t="s">
        <v>216</v>
      </c>
      <c r="C66" s="74">
        <f>C5</f>
        <v>59200</v>
      </c>
      <c r="D66" s="74">
        <f>D5</f>
        <v>106200</v>
      </c>
      <c r="E66" s="74">
        <f>E5</f>
        <v>206000</v>
      </c>
      <c r="F66" s="74">
        <f>F5</f>
        <v>417000</v>
      </c>
      <c r="G66" s="74">
        <f>G5</f>
        <v>506000</v>
      </c>
    </row>
    <row r="67" spans="2:7" ht="14.25" customHeight="1">
      <c r="B67" s="75" t="s">
        <v>217</v>
      </c>
      <c r="C67" s="76">
        <f>C5*$C$61</f>
        <v>82880</v>
      </c>
      <c r="D67" s="76">
        <f>D5*$C$61</f>
        <v>148680</v>
      </c>
      <c r="E67" s="76">
        <f>E5*$C$61</f>
        <v>288400</v>
      </c>
      <c r="F67" s="76">
        <f>F5*$C$61</f>
        <v>583800</v>
      </c>
      <c r="G67" s="76">
        <f>G5*$C$61</f>
        <v>708400</v>
      </c>
    </row>
    <row r="69" spans="2:7" ht="14.25" customHeight="1">
      <c r="B69" s="71" t="s">
        <v>218</v>
      </c>
      <c r="C69" s="72">
        <f>C65-C6</f>
        <v>19620</v>
      </c>
      <c r="D69" s="72">
        <f>D65-D6</f>
        <v>21320</v>
      </c>
      <c r="E69" s="72">
        <f>E65-E6</f>
        <v>44100</v>
      </c>
      <c r="F69" s="72">
        <f>F65-F6</f>
        <v>91200</v>
      </c>
      <c r="G69" s="72">
        <f>G65-G6</f>
        <v>95300</v>
      </c>
    </row>
    <row r="70" spans="2:7" ht="14.25" customHeight="1">
      <c r="B70" s="73" t="s">
        <v>219</v>
      </c>
      <c r="C70" s="74">
        <f>C7</f>
        <v>43300</v>
      </c>
      <c r="D70" s="74">
        <f>D7</f>
        <v>63800</v>
      </c>
      <c r="E70" s="74">
        <f>E7</f>
        <v>126500</v>
      </c>
      <c r="F70" s="74">
        <f>F7</f>
        <v>258000</v>
      </c>
      <c r="G70" s="74">
        <f>G7</f>
        <v>297700</v>
      </c>
    </row>
    <row r="71" spans="2:7" ht="14.25" customHeight="1">
      <c r="B71" s="75" t="s">
        <v>220</v>
      </c>
      <c r="C71" s="76">
        <f>C67-C6</f>
        <v>66980</v>
      </c>
      <c r="D71" s="76">
        <f>D67-D6</f>
        <v>106280</v>
      </c>
      <c r="E71" s="76">
        <f>E67-E6</f>
        <v>208900</v>
      </c>
      <c r="F71" s="76">
        <f>F67-F6</f>
        <v>424800</v>
      </c>
      <c r="G71" s="76">
        <f>G67-G6</f>
        <v>500100</v>
      </c>
    </row>
    <row r="73" spans="2:7" ht="14.25" customHeight="1">
      <c r="B73" s="71" t="s">
        <v>221</v>
      </c>
      <c r="C73" s="72">
        <f>C69-C8</f>
        <v>-247880</v>
      </c>
      <c r="D73" s="72">
        <f>D69-D8</f>
        <v>-82380</v>
      </c>
      <c r="E73" s="72">
        <f>E69-E8</f>
        <v>-167200</v>
      </c>
      <c r="F73" s="72">
        <f>F69-F8</f>
        <v>-335300</v>
      </c>
      <c r="G73" s="72">
        <f>G69-G8</f>
        <v>-196700</v>
      </c>
    </row>
    <row r="74" spans="2:7" ht="14.25" customHeight="1">
      <c r="B74" s="73" t="s">
        <v>222</v>
      </c>
      <c r="C74" s="74">
        <f>C9</f>
        <v>-224200</v>
      </c>
      <c r="D74" s="74">
        <f>D9</f>
        <v>-39900</v>
      </c>
      <c r="E74" s="74">
        <f>E9</f>
        <v>-84800</v>
      </c>
      <c r="F74" s="74">
        <f>F9</f>
        <v>-168500</v>
      </c>
      <c r="G74" s="74">
        <f>G9</f>
        <v>5700</v>
      </c>
    </row>
    <row r="75" spans="2:7" ht="14.25" customHeight="1">
      <c r="B75" s="75" t="s">
        <v>223</v>
      </c>
      <c r="C75" s="76">
        <f>C71-C8</f>
        <v>-200520</v>
      </c>
      <c r="D75" s="76">
        <f>D71-D8</f>
        <v>2580</v>
      </c>
      <c r="E75" s="76">
        <f>E71-E8</f>
        <v>-2400</v>
      </c>
      <c r="F75" s="76">
        <f>F71-F8</f>
        <v>-1700</v>
      </c>
      <c r="G75" s="76">
        <f>G71-G8</f>
        <v>208100</v>
      </c>
    </row>
    <row r="77" spans="2:7" ht="14.25" customHeight="1">
      <c r="B77" s="77" t="s">
        <v>224</v>
      </c>
      <c r="C77" s="78">
        <f>C73</f>
        <v>-247880</v>
      </c>
      <c r="D77" s="78">
        <f>C77+D73</f>
        <v>-330260</v>
      </c>
      <c r="E77" s="78">
        <f>D77+E73</f>
        <v>-497460</v>
      </c>
      <c r="F77" s="78">
        <f>E77+F73</f>
        <v>-832760</v>
      </c>
      <c r="G77" s="78">
        <f>F77+G73</f>
        <v>-1029460</v>
      </c>
    </row>
    <row r="78" spans="2:7" ht="14.25" customHeight="1">
      <c r="B78" s="73" t="s">
        <v>225</v>
      </c>
      <c r="C78" s="74">
        <f>C10</f>
        <v>-224200</v>
      </c>
      <c r="D78" s="74">
        <f>D10</f>
        <v>-264100</v>
      </c>
      <c r="E78" s="74">
        <f>E10</f>
        <v>-348900</v>
      </c>
      <c r="F78" s="74">
        <f>F10</f>
        <v>-517400</v>
      </c>
      <c r="G78" s="74">
        <f>G10</f>
        <v>-511700</v>
      </c>
    </row>
    <row r="79" spans="2:7" ht="14.25" customHeight="1">
      <c r="B79" s="79" t="s">
        <v>226</v>
      </c>
      <c r="C79" s="80">
        <f>C75</f>
        <v>-200520</v>
      </c>
      <c r="D79" s="80">
        <f>C79+D75</f>
        <v>-197940</v>
      </c>
      <c r="E79" s="80">
        <f>D79+E75</f>
        <v>-200340</v>
      </c>
      <c r="F79" s="80">
        <f>E79+F75</f>
        <v>-202040</v>
      </c>
      <c r="G79" s="80">
        <f>F79+G75</f>
        <v>6060</v>
      </c>
    </row>
    <row r="81" spans="2:3" ht="14.25" customHeight="1">
      <c r="B81" s="81" t="s">
        <v>227</v>
      </c>
      <c r="C81" s="82" t="str">
        <f>IF(AND(C5=0,D5=0,E5=0,F5=0,G5=0),"— (not filled)",IF(G77&lt;0,"&gt;5 years",IF(C77&gt;=0,"Year 1",IF(D77&gt;=0,"Year 2",IF(E77&gt;=0,"Year 3",IF(F77&gt;=0,"Year 4","Year 5"))))))</f>
        <v>&gt;5 years</v>
      </c>
    </row>
    <row r="82" spans="2:3" ht="14.25" customHeight="1">
      <c r="B82" s="83" t="s">
        <v>228</v>
      </c>
      <c r="C82" s="84" t="str">
        <f>IF(AND(C5=0,D5=0,E5=0,F5=0,G5=0),"— (not filled)",IF(G78&lt;0,"&gt;5 years",IF(C78&gt;=0,"Year 1",IF(D78&gt;=0,"Year 2",IF(E78&gt;=0,"Year 3",IF(F78&gt;=0,"Year 4","Year 5"))))))</f>
        <v>&gt;5 years</v>
      </c>
    </row>
    <row r="83" spans="2:3" ht="14.25" customHeight="1">
      <c r="B83" s="85" t="s">
        <v>229</v>
      </c>
      <c r="C83" s="86" t="str">
        <f>IF(AND(C5=0,D5=0,E5=0,F5=0,G5=0),"— (not filled)",IF(G79&lt;0,"&gt;5 years",IF(C79&gt;=0,"Year 1",IF(D79&gt;=0,"Year 2",IF(E79&gt;=0,"Year 3",IF(F79&gt;=0,"Year 4","Year 5"))))))</f>
        <v>Year 5</v>
      </c>
    </row>
  </sheetData>
  <mergeCells count="4">
    <mergeCell ref="A1:H1"/>
    <mergeCell ref="A57:H57"/>
    <mergeCell ref="C59:G59"/>
    <mergeCell ref="A63:H63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43"/>
  <sheetViews>
    <sheetView showGridLines="0" topLeftCell="B1" zoomScale="83" zoomScaleNormal="83" workbookViewId="0">
      <selection activeCell="J1" sqref="J1"/>
    </sheetView>
  </sheetViews>
  <sheetFormatPr defaultColWidth="8.54296875" defaultRowHeight="14.5"/>
  <cols>
    <col min="1" max="1" width="22" customWidth="1"/>
    <col min="2" max="2" width="23.453125" customWidth="1"/>
    <col min="3" max="3" width="22.54296875" customWidth="1"/>
    <col min="4" max="4" width="23.7265625" customWidth="1"/>
    <col min="5" max="5" width="25.453125" customWidth="1"/>
    <col min="6" max="6" width="24.54296875" customWidth="1"/>
    <col min="7" max="7" width="16" customWidth="1"/>
    <col min="8" max="8" width="31.54296875" customWidth="1"/>
    <col min="9" max="14" width="16" customWidth="1"/>
  </cols>
  <sheetData>
    <row r="1" spans="1:9" ht="57" customHeight="1">
      <c r="A1" s="285" t="s">
        <v>372</v>
      </c>
      <c r="B1" s="285"/>
      <c r="C1" s="285"/>
      <c r="D1" s="285"/>
      <c r="E1" s="285"/>
      <c r="F1" s="285"/>
      <c r="G1" s="285"/>
      <c r="H1" s="285"/>
      <c r="I1" s="285"/>
    </row>
    <row r="2" spans="1:9" ht="19.5" customHeight="1">
      <c r="A2" s="290" t="s">
        <v>373</v>
      </c>
      <c r="B2" s="290"/>
      <c r="C2" s="290"/>
      <c r="D2" s="290"/>
      <c r="E2" s="290"/>
      <c r="F2" s="290"/>
      <c r="G2" s="290"/>
      <c r="H2" s="290"/>
      <c r="I2" s="290"/>
    </row>
    <row r="3" spans="1:9" ht="19.5" customHeight="1">
      <c r="A3" s="122" t="s">
        <v>374</v>
      </c>
      <c r="B3" s="122" t="s">
        <v>71</v>
      </c>
      <c r="C3" s="122" t="s">
        <v>72</v>
      </c>
      <c r="D3" s="122" t="s">
        <v>73</v>
      </c>
      <c r="E3" s="122" t="s">
        <v>74</v>
      </c>
      <c r="F3" s="122" t="s">
        <v>75</v>
      </c>
      <c r="G3" s="122" t="s">
        <v>76</v>
      </c>
      <c r="H3" s="122" t="s">
        <v>375</v>
      </c>
      <c r="I3" s="122" t="s">
        <v>77</v>
      </c>
    </row>
    <row r="4" spans="1:9" ht="19.5" customHeight="1">
      <c r="A4" s="123" t="s">
        <v>376</v>
      </c>
      <c r="B4" s="124" t="s">
        <v>79</v>
      </c>
      <c r="C4" s="125">
        <f>Current_Linear!C5</f>
        <v>14430000</v>
      </c>
      <c r="D4" s="125">
        <f>Current_Linear!D5</f>
        <v>14040000</v>
      </c>
      <c r="E4" s="125">
        <f>Current_Linear!E5</f>
        <v>13650000</v>
      </c>
      <c r="F4" s="125">
        <f>Current_Linear!F5</f>
        <v>13260000</v>
      </c>
      <c r="G4" s="125">
        <f>Current_Linear!G5</f>
        <v>12870000</v>
      </c>
      <c r="H4" s="125"/>
      <c r="I4" s="119"/>
    </row>
    <row r="5" spans="1:9" ht="19.5" customHeight="1">
      <c r="A5" s="123" t="s">
        <v>376</v>
      </c>
      <c r="B5" s="124" t="s">
        <v>81</v>
      </c>
      <c r="C5" s="125">
        <f>Current_Linear!C6</f>
        <v>9978000</v>
      </c>
      <c r="D5" s="125">
        <f>Current_Linear!D6</f>
        <v>9709000</v>
      </c>
      <c r="E5" s="125">
        <f>Current_Linear!E6</f>
        <v>9440000</v>
      </c>
      <c r="F5" s="125">
        <f>Current_Linear!F6</f>
        <v>9171000</v>
      </c>
      <c r="G5" s="125">
        <f>Current_Linear!G6</f>
        <v>8902000</v>
      </c>
      <c r="H5" s="125"/>
      <c r="I5" s="119"/>
    </row>
    <row r="6" spans="1:9" ht="19.5" customHeight="1">
      <c r="A6" s="123" t="s">
        <v>376</v>
      </c>
      <c r="B6" s="124" t="s">
        <v>83</v>
      </c>
      <c r="C6" s="125">
        <f>Current_Linear!C7</f>
        <v>4452000</v>
      </c>
      <c r="D6" s="125">
        <f>Current_Linear!D7</f>
        <v>4331000</v>
      </c>
      <c r="E6" s="125">
        <f>Current_Linear!E7</f>
        <v>4210000</v>
      </c>
      <c r="F6" s="125">
        <f>Current_Linear!F7</f>
        <v>4089000</v>
      </c>
      <c r="G6" s="125">
        <f>Current_Linear!G7</f>
        <v>3968000</v>
      </c>
      <c r="H6" s="125"/>
      <c r="I6" s="119"/>
    </row>
    <row r="7" spans="1:9" ht="19.5" customHeight="1">
      <c r="A7" s="123" t="s">
        <v>376</v>
      </c>
      <c r="B7" s="124" t="s">
        <v>85</v>
      </c>
      <c r="C7" s="125">
        <f>Current_Linear!C8</f>
        <v>0</v>
      </c>
      <c r="D7" s="125">
        <f>Current_Linear!D8</f>
        <v>0</v>
      </c>
      <c r="E7" s="125">
        <f>Current_Linear!E8</f>
        <v>0</v>
      </c>
      <c r="F7" s="125">
        <f>Current_Linear!F8</f>
        <v>0</v>
      </c>
      <c r="G7" s="125">
        <f>Current_Linear!G8</f>
        <v>0</v>
      </c>
      <c r="H7" s="125"/>
      <c r="I7" s="119"/>
    </row>
    <row r="8" spans="1:9" ht="19.5" customHeight="1">
      <c r="A8" s="123" t="s">
        <v>376</v>
      </c>
      <c r="B8" s="124" t="s">
        <v>87</v>
      </c>
      <c r="C8" s="125">
        <f>Current_Linear!C9</f>
        <v>4452000</v>
      </c>
      <c r="D8" s="125">
        <f>Current_Linear!D9</f>
        <v>4331000</v>
      </c>
      <c r="E8" s="125">
        <f>Current_Linear!E9</f>
        <v>4210000</v>
      </c>
      <c r="F8" s="125">
        <f>Current_Linear!F9</f>
        <v>4089000</v>
      </c>
      <c r="G8" s="125">
        <f>Current_Linear!G9</f>
        <v>3968000</v>
      </c>
      <c r="H8" s="125"/>
      <c r="I8" s="119"/>
    </row>
    <row r="9" spans="1:9" ht="19.5" customHeight="1">
      <c r="A9" s="123" t="s">
        <v>376</v>
      </c>
      <c r="B9" s="124" t="s">
        <v>89</v>
      </c>
      <c r="C9" s="125">
        <f>Current_Linear!C10</f>
        <v>4452000</v>
      </c>
      <c r="D9" s="125">
        <f>Current_Linear!D10</f>
        <v>8783000</v>
      </c>
      <c r="E9" s="125">
        <f>Current_Linear!E10</f>
        <v>12993000</v>
      </c>
      <c r="F9" s="125">
        <f>Current_Linear!F10</f>
        <v>17082000</v>
      </c>
      <c r="G9" s="125">
        <f>Current_Linear!G10</f>
        <v>21050000</v>
      </c>
      <c r="H9" s="125" t="str">
        <f>Current_Linear!C11</f>
        <v>Year 1</v>
      </c>
      <c r="I9" s="119"/>
    </row>
    <row r="10" spans="1:9" ht="19.5" customHeight="1">
      <c r="A10" s="126"/>
      <c r="B10" s="126"/>
      <c r="C10" s="127"/>
      <c r="D10" s="127"/>
      <c r="E10" s="127"/>
      <c r="F10" s="127"/>
      <c r="G10" s="127"/>
      <c r="H10" s="128"/>
      <c r="I10" s="119"/>
    </row>
    <row r="11" spans="1:9" ht="19.5" customHeight="1">
      <c r="A11" s="129" t="s">
        <v>54</v>
      </c>
      <c r="B11" s="130" t="s">
        <v>79</v>
      </c>
      <c r="C11" s="131">
        <f>'1. Repair_Maintain'!C5</f>
        <v>36500</v>
      </c>
      <c r="D11" s="131">
        <f>'1. Repair_Maintain'!D5</f>
        <v>87600</v>
      </c>
      <c r="E11" s="131">
        <f>'1. Repair_Maintain'!E5</f>
        <v>160600</v>
      </c>
      <c r="F11" s="131">
        <f>'1. Repair_Maintain'!F5</f>
        <v>292000</v>
      </c>
      <c r="G11" s="131">
        <f>'1. Repair_Maintain'!G5</f>
        <v>401500</v>
      </c>
      <c r="H11" s="131"/>
      <c r="I11" s="119"/>
    </row>
    <row r="12" spans="1:9" ht="19.5" customHeight="1">
      <c r="A12" s="129" t="s">
        <v>54</v>
      </c>
      <c r="B12" s="130" t="s">
        <v>81</v>
      </c>
      <c r="C12" s="131">
        <f>'1. Repair_Maintain'!C6</f>
        <v>44500</v>
      </c>
      <c r="D12" s="131">
        <f>'1. Repair_Maintain'!D6</f>
        <v>98600</v>
      </c>
      <c r="E12" s="131">
        <f>'1. Repair_Maintain'!E6</f>
        <v>167100</v>
      </c>
      <c r="F12" s="131">
        <f>'1. Repair_Maintain'!F6</f>
        <v>274000</v>
      </c>
      <c r="G12" s="131">
        <f>'1. Repair_Maintain'!G6</f>
        <v>366500</v>
      </c>
      <c r="H12" s="131"/>
      <c r="I12" s="119"/>
    </row>
    <row r="13" spans="1:9" ht="19.5" customHeight="1">
      <c r="A13" s="129" t="s">
        <v>54</v>
      </c>
      <c r="B13" s="130" t="s">
        <v>83</v>
      </c>
      <c r="C13" s="131">
        <f>'1. Repair_Maintain'!C7</f>
        <v>-8000</v>
      </c>
      <c r="D13" s="131">
        <f>'1. Repair_Maintain'!D7</f>
        <v>-11000</v>
      </c>
      <c r="E13" s="131">
        <f>'1. Repair_Maintain'!E7</f>
        <v>-6500</v>
      </c>
      <c r="F13" s="131">
        <f>'1. Repair_Maintain'!F7</f>
        <v>18000</v>
      </c>
      <c r="G13" s="131">
        <f>'1. Repair_Maintain'!G7</f>
        <v>35000</v>
      </c>
      <c r="H13" s="131"/>
      <c r="I13" s="119"/>
    </row>
    <row r="14" spans="1:9" ht="19.5" customHeight="1">
      <c r="A14" s="129" t="s">
        <v>54</v>
      </c>
      <c r="B14" s="130" t="s">
        <v>85</v>
      </c>
      <c r="C14" s="131">
        <f>'1. Repair_Maintain'!C8</f>
        <v>50000</v>
      </c>
      <c r="D14" s="131">
        <f>'1. Repair_Maintain'!D8</f>
        <v>0</v>
      </c>
      <c r="E14" s="131">
        <f>'1. Repair_Maintain'!E8</f>
        <v>0</v>
      </c>
      <c r="F14" s="131">
        <f>'1. Repair_Maintain'!F8</f>
        <v>0</v>
      </c>
      <c r="G14" s="131">
        <f>'1. Repair_Maintain'!G8</f>
        <v>0</v>
      </c>
      <c r="H14" s="131"/>
      <c r="I14" s="119"/>
    </row>
    <row r="15" spans="1:9" ht="19.5" customHeight="1">
      <c r="A15" s="129" t="s">
        <v>54</v>
      </c>
      <c r="B15" s="130" t="s">
        <v>87</v>
      </c>
      <c r="C15" s="131">
        <f>'1. Repair_Maintain'!C9</f>
        <v>-58000</v>
      </c>
      <c r="D15" s="131">
        <f>'1. Repair_Maintain'!D9</f>
        <v>-11000</v>
      </c>
      <c r="E15" s="131">
        <f>'1. Repair_Maintain'!E9</f>
        <v>-6500</v>
      </c>
      <c r="F15" s="131">
        <f>'1. Repair_Maintain'!F9</f>
        <v>18000</v>
      </c>
      <c r="G15" s="131">
        <f>'1. Repair_Maintain'!G9</f>
        <v>35000</v>
      </c>
      <c r="H15" s="131"/>
      <c r="I15" s="119"/>
    </row>
    <row r="16" spans="1:9" ht="19.5" customHeight="1">
      <c r="A16" s="129" t="s">
        <v>54</v>
      </c>
      <c r="B16" s="130" t="s">
        <v>89</v>
      </c>
      <c r="C16" s="131">
        <f>'1. Repair_Maintain'!C10</f>
        <v>-58000</v>
      </c>
      <c r="D16" s="131">
        <f>'1. Repair_Maintain'!D10</f>
        <v>-69000</v>
      </c>
      <c r="E16" s="131">
        <f>'1. Repair_Maintain'!E10</f>
        <v>-75500</v>
      </c>
      <c r="F16" s="131">
        <f>'1. Repair_Maintain'!F10</f>
        <v>-57500</v>
      </c>
      <c r="G16" s="131">
        <f>'1. Repair_Maintain'!G10</f>
        <v>-22500</v>
      </c>
      <c r="H16" s="131" t="str">
        <f>'1. Repair_Maintain'!C11</f>
        <v>&gt;5 years</v>
      </c>
      <c r="I16" s="119"/>
    </row>
    <row r="17" spans="1:9" ht="19.5" customHeight="1">
      <c r="A17" s="126"/>
      <c r="B17" s="126"/>
      <c r="C17" s="132"/>
      <c r="D17" s="132"/>
      <c r="E17" s="132"/>
      <c r="F17" s="132"/>
      <c r="G17" s="132"/>
      <c r="H17" s="128"/>
      <c r="I17" s="119"/>
    </row>
    <row r="18" spans="1:9" ht="19.5" customHeight="1">
      <c r="A18" s="133" t="s">
        <v>58</v>
      </c>
      <c r="B18" s="134" t="s">
        <v>79</v>
      </c>
      <c r="C18" s="135">
        <f>'2. Resell'!C5</f>
        <v>22510</v>
      </c>
      <c r="D18" s="135">
        <f>'2. Resell'!D5</f>
        <v>56260</v>
      </c>
      <c r="E18" s="135">
        <f>'2. Resell'!E5</f>
        <v>101260</v>
      </c>
      <c r="F18" s="135">
        <f>'2. Resell'!F5</f>
        <v>168760</v>
      </c>
      <c r="G18" s="135">
        <f>'2. Resell'!G5</f>
        <v>202510</v>
      </c>
      <c r="H18" s="135"/>
      <c r="I18" s="119"/>
    </row>
    <row r="19" spans="1:9" ht="19.5" customHeight="1">
      <c r="A19" s="133" t="s">
        <v>58</v>
      </c>
      <c r="B19" s="134" t="s">
        <v>81</v>
      </c>
      <c r="C19" s="135">
        <f>'2. Resell'!C6</f>
        <v>9000</v>
      </c>
      <c r="D19" s="135">
        <f>'2. Resell'!D6</f>
        <v>15000</v>
      </c>
      <c r="E19" s="135">
        <f>'2. Resell'!E6</f>
        <v>23000</v>
      </c>
      <c r="F19" s="135">
        <f>'2. Resell'!F6</f>
        <v>35000</v>
      </c>
      <c r="G19" s="135">
        <f>'2. Resell'!G6</f>
        <v>41000</v>
      </c>
      <c r="H19" s="135"/>
      <c r="I19" s="119"/>
    </row>
    <row r="20" spans="1:9" ht="19.5" customHeight="1">
      <c r="A20" s="133" t="s">
        <v>58</v>
      </c>
      <c r="B20" s="134" t="s">
        <v>83</v>
      </c>
      <c r="C20" s="135">
        <f>'2. Resell'!C7</f>
        <v>13510</v>
      </c>
      <c r="D20" s="135">
        <f>'2. Resell'!D7</f>
        <v>41260</v>
      </c>
      <c r="E20" s="135">
        <f>'2. Resell'!E7</f>
        <v>78260</v>
      </c>
      <c r="F20" s="135">
        <f>'2. Resell'!F7</f>
        <v>133760</v>
      </c>
      <c r="G20" s="135">
        <f>'2. Resell'!G7</f>
        <v>161510</v>
      </c>
      <c r="H20" s="135"/>
      <c r="I20" s="119"/>
    </row>
    <row r="21" spans="1:9" ht="19.5" customHeight="1">
      <c r="A21" s="133" t="s">
        <v>58</v>
      </c>
      <c r="B21" s="134" t="s">
        <v>85</v>
      </c>
      <c r="C21" s="135">
        <f>'2. Resell'!C8</f>
        <v>33000</v>
      </c>
      <c r="D21" s="135">
        <f>'2. Resell'!D8</f>
        <v>0</v>
      </c>
      <c r="E21" s="135">
        <f>'2. Resell'!E8</f>
        <v>0</v>
      </c>
      <c r="F21" s="135">
        <f>'2. Resell'!F8</f>
        <v>0</v>
      </c>
      <c r="G21" s="135">
        <f>'2. Resell'!G8</f>
        <v>0</v>
      </c>
      <c r="H21" s="135"/>
      <c r="I21" s="119"/>
    </row>
    <row r="22" spans="1:9" ht="19.5" customHeight="1">
      <c r="A22" s="133" t="s">
        <v>58</v>
      </c>
      <c r="B22" s="134" t="s">
        <v>87</v>
      </c>
      <c r="C22" s="135">
        <f>'2. Resell'!C9</f>
        <v>-19490</v>
      </c>
      <c r="D22" s="135">
        <f>'2. Resell'!D9</f>
        <v>41260</v>
      </c>
      <c r="E22" s="135">
        <f>'2. Resell'!E9</f>
        <v>78260</v>
      </c>
      <c r="F22" s="135">
        <f>'2. Resell'!F9</f>
        <v>133760</v>
      </c>
      <c r="G22" s="135">
        <f>'2. Resell'!G9</f>
        <v>161510</v>
      </c>
      <c r="H22" s="135"/>
      <c r="I22" s="119"/>
    </row>
    <row r="23" spans="1:9" ht="19.5" customHeight="1">
      <c r="A23" s="133" t="s">
        <v>58</v>
      </c>
      <c r="B23" s="134" t="s">
        <v>89</v>
      </c>
      <c r="C23" s="135">
        <f>'2. Resell'!C10</f>
        <v>-19490</v>
      </c>
      <c r="D23" s="135">
        <f>'2. Resell'!D10</f>
        <v>21770</v>
      </c>
      <c r="E23" s="135">
        <f>'2. Resell'!E10</f>
        <v>100030</v>
      </c>
      <c r="F23" s="135">
        <f>'2. Resell'!F10</f>
        <v>233790</v>
      </c>
      <c r="G23" s="135">
        <f>'2. Resell'!G10</f>
        <v>395300</v>
      </c>
      <c r="H23" s="135" t="str">
        <f>'2. Resell'!C11</f>
        <v>Year 2</v>
      </c>
      <c r="I23" s="119"/>
    </row>
    <row r="24" spans="1:9" ht="19.5" customHeight="1">
      <c r="A24" s="126"/>
      <c r="B24" s="126"/>
      <c r="C24" s="132"/>
      <c r="D24" s="132"/>
      <c r="E24" s="132"/>
      <c r="F24" s="132"/>
      <c r="G24" s="132"/>
      <c r="H24" s="128"/>
      <c r="I24" s="119"/>
    </row>
    <row r="25" spans="1:9" ht="19.5" customHeight="1">
      <c r="A25" s="136" t="s">
        <v>62</v>
      </c>
      <c r="B25" s="137" t="s">
        <v>79</v>
      </c>
      <c r="C25" s="138">
        <f>'3. Remanufacture'!C5</f>
        <v>9360</v>
      </c>
      <c r="D25" s="138">
        <f>'3. Remanufacture'!D5</f>
        <v>31200</v>
      </c>
      <c r="E25" s="138">
        <f>'3. Remanufacture'!E5</f>
        <v>70200</v>
      </c>
      <c r="F25" s="138">
        <f>'3. Remanufacture'!F5</f>
        <v>156000</v>
      </c>
      <c r="G25" s="138">
        <f>'3. Remanufacture'!G5</f>
        <v>202800</v>
      </c>
      <c r="H25" s="138"/>
      <c r="I25" s="119"/>
    </row>
    <row r="26" spans="1:9" ht="19.5" customHeight="1">
      <c r="A26" s="136" t="s">
        <v>62</v>
      </c>
      <c r="B26" s="137" t="s">
        <v>81</v>
      </c>
      <c r="C26" s="138">
        <f>'3. Remanufacture'!C6</f>
        <v>10820</v>
      </c>
      <c r="D26" s="138">
        <f>'3. Remanufacture'!D6</f>
        <v>24400</v>
      </c>
      <c r="E26" s="138">
        <f>'3. Remanufacture'!E6</f>
        <v>48650</v>
      </c>
      <c r="F26" s="138">
        <f>'3. Remanufacture'!F6</f>
        <v>102000</v>
      </c>
      <c r="G26" s="138">
        <f>'3. Remanufacture'!G6</f>
        <v>131100</v>
      </c>
      <c r="H26" s="138"/>
      <c r="I26" s="119"/>
    </row>
    <row r="27" spans="1:9" ht="19.5" customHeight="1">
      <c r="A27" s="136" t="s">
        <v>62</v>
      </c>
      <c r="B27" s="137" t="s">
        <v>83</v>
      </c>
      <c r="C27" s="138">
        <f>'3. Remanufacture'!C7</f>
        <v>-1460</v>
      </c>
      <c r="D27" s="138">
        <f>'3. Remanufacture'!D7</f>
        <v>6800</v>
      </c>
      <c r="E27" s="138">
        <f>'3. Remanufacture'!E7</f>
        <v>21550</v>
      </c>
      <c r="F27" s="138">
        <f>'3. Remanufacture'!F7</f>
        <v>54000</v>
      </c>
      <c r="G27" s="138">
        <f>'3. Remanufacture'!G7</f>
        <v>71700</v>
      </c>
      <c r="H27" s="138"/>
      <c r="I27" s="119"/>
    </row>
    <row r="28" spans="1:9" ht="19.5" customHeight="1">
      <c r="A28" s="136" t="s">
        <v>62</v>
      </c>
      <c r="B28" s="137" t="s">
        <v>85</v>
      </c>
      <c r="C28" s="138">
        <f>'3. Remanufacture'!C8</f>
        <v>71000</v>
      </c>
      <c r="D28" s="138">
        <f>'3. Remanufacture'!D8</f>
        <v>0</v>
      </c>
      <c r="E28" s="138">
        <f>'3. Remanufacture'!E8</f>
        <v>0</v>
      </c>
      <c r="F28" s="138">
        <f>'3. Remanufacture'!F8</f>
        <v>0</v>
      </c>
      <c r="G28" s="138">
        <f>'3. Remanufacture'!G8</f>
        <v>0</v>
      </c>
      <c r="H28" s="138"/>
      <c r="I28" s="119"/>
    </row>
    <row r="29" spans="1:9" ht="19.5" customHeight="1">
      <c r="A29" s="136" t="s">
        <v>62</v>
      </c>
      <c r="B29" s="137" t="s">
        <v>87</v>
      </c>
      <c r="C29" s="138">
        <f>'3. Remanufacture'!C9</f>
        <v>-72460</v>
      </c>
      <c r="D29" s="138">
        <f>'3. Remanufacture'!D9</f>
        <v>6800</v>
      </c>
      <c r="E29" s="138">
        <f>'3. Remanufacture'!E9</f>
        <v>21550</v>
      </c>
      <c r="F29" s="138">
        <f>'3. Remanufacture'!F9</f>
        <v>54000</v>
      </c>
      <c r="G29" s="138">
        <f>'3. Remanufacture'!G9</f>
        <v>71700</v>
      </c>
      <c r="H29" s="138"/>
      <c r="I29" s="119"/>
    </row>
    <row r="30" spans="1:9" ht="19.5" customHeight="1">
      <c r="A30" s="136" t="s">
        <v>62</v>
      </c>
      <c r="B30" s="139" t="s">
        <v>89</v>
      </c>
      <c r="C30" s="138">
        <f>'3. Remanufacture'!C10</f>
        <v>-72460</v>
      </c>
      <c r="D30" s="138">
        <f>'3. Remanufacture'!D10</f>
        <v>-65660</v>
      </c>
      <c r="E30" s="138">
        <f>'3. Remanufacture'!E10</f>
        <v>-44110</v>
      </c>
      <c r="F30" s="138">
        <f>'3. Remanufacture'!F10</f>
        <v>9890</v>
      </c>
      <c r="G30" s="138">
        <f>'3. Remanufacture'!G10</f>
        <v>81590</v>
      </c>
      <c r="H30" s="138" t="str">
        <f>'3. Remanufacture'!C11</f>
        <v>Year 4</v>
      </c>
      <c r="I30" s="119"/>
    </row>
    <row r="31" spans="1:9" ht="19.5" customHeight="1">
      <c r="A31" s="126"/>
      <c r="B31" s="140"/>
      <c r="C31" s="127"/>
      <c r="D31" s="127"/>
      <c r="E31" s="127"/>
      <c r="F31" s="127"/>
      <c r="G31" s="127"/>
      <c r="H31" s="128"/>
      <c r="I31" s="119"/>
    </row>
    <row r="32" spans="1:9" ht="19.5" customHeight="1">
      <c r="A32" s="141" t="s">
        <v>377</v>
      </c>
      <c r="B32" s="142" t="s">
        <v>79</v>
      </c>
      <c r="C32" s="143">
        <f>'4. FaaS_Subscription'!C5</f>
        <v>59200</v>
      </c>
      <c r="D32" s="143">
        <f>'4. FaaS_Subscription'!D5</f>
        <v>106200</v>
      </c>
      <c r="E32" s="143">
        <f>'4. FaaS_Subscription'!E5</f>
        <v>206000</v>
      </c>
      <c r="F32" s="143">
        <f>'4. FaaS_Subscription'!F5</f>
        <v>417000</v>
      </c>
      <c r="G32" s="143">
        <f>'4. FaaS_Subscription'!G5</f>
        <v>506000</v>
      </c>
      <c r="H32" s="143"/>
      <c r="I32" s="119"/>
    </row>
    <row r="33" spans="1:9" ht="14.25" customHeight="1">
      <c r="A33" s="141" t="s">
        <v>377</v>
      </c>
      <c r="B33" s="144" t="s">
        <v>81</v>
      </c>
      <c r="C33" s="143">
        <f>'4. FaaS_Subscription'!C6</f>
        <v>15900</v>
      </c>
      <c r="D33" s="143">
        <f>'4. FaaS_Subscription'!D6</f>
        <v>42400</v>
      </c>
      <c r="E33" s="143">
        <f>'4. FaaS_Subscription'!E6</f>
        <v>79500</v>
      </c>
      <c r="F33" s="143">
        <f>'4. FaaS_Subscription'!F6</f>
        <v>159000</v>
      </c>
      <c r="G33" s="143">
        <f>'4. FaaS_Subscription'!G6</f>
        <v>208300</v>
      </c>
      <c r="H33" s="143"/>
      <c r="I33" s="119"/>
    </row>
    <row r="34" spans="1:9" ht="28.5" customHeight="1">
      <c r="A34" s="141" t="s">
        <v>377</v>
      </c>
      <c r="B34" s="144" t="s">
        <v>83</v>
      </c>
      <c r="C34" s="143">
        <f>'4. FaaS_Subscription'!C7</f>
        <v>43300</v>
      </c>
      <c r="D34" s="143">
        <f>'4. FaaS_Subscription'!D7</f>
        <v>63800</v>
      </c>
      <c r="E34" s="143">
        <f>'4. FaaS_Subscription'!E7</f>
        <v>126500</v>
      </c>
      <c r="F34" s="143">
        <f>'4. FaaS_Subscription'!F7</f>
        <v>258000</v>
      </c>
      <c r="G34" s="143">
        <f>'4. FaaS_Subscription'!G7</f>
        <v>297700</v>
      </c>
      <c r="H34" s="143"/>
      <c r="I34" s="119"/>
    </row>
    <row r="35" spans="1:9" ht="14.25" customHeight="1">
      <c r="A35" s="141" t="s">
        <v>377</v>
      </c>
      <c r="B35" s="144" t="s">
        <v>85</v>
      </c>
      <c r="C35" s="143">
        <f>'4. FaaS_Subscription'!C8</f>
        <v>267500</v>
      </c>
      <c r="D35" s="143">
        <f>'4. FaaS_Subscription'!D8</f>
        <v>103700</v>
      </c>
      <c r="E35" s="143">
        <f>'4. FaaS_Subscription'!E8</f>
        <v>211300</v>
      </c>
      <c r="F35" s="143">
        <f>'4. FaaS_Subscription'!F8</f>
        <v>426500</v>
      </c>
      <c r="G35" s="143">
        <f>'4. FaaS_Subscription'!G8</f>
        <v>292000</v>
      </c>
      <c r="H35" s="143"/>
      <c r="I35" s="119"/>
    </row>
    <row r="36" spans="1:9" ht="14.25" customHeight="1">
      <c r="A36" s="141" t="s">
        <v>377</v>
      </c>
      <c r="B36" s="144" t="s">
        <v>87</v>
      </c>
      <c r="C36" s="143">
        <f>'4. FaaS_Subscription'!C9</f>
        <v>-224200</v>
      </c>
      <c r="D36" s="143">
        <f>'4. FaaS_Subscription'!D9</f>
        <v>-39900</v>
      </c>
      <c r="E36" s="143">
        <f>'4. FaaS_Subscription'!E9</f>
        <v>-84800</v>
      </c>
      <c r="F36" s="143">
        <f>'4. FaaS_Subscription'!F9</f>
        <v>-168500</v>
      </c>
      <c r="G36" s="143">
        <f>'4. FaaS_Subscription'!G9</f>
        <v>5700</v>
      </c>
      <c r="H36" s="143"/>
      <c r="I36" s="119"/>
    </row>
    <row r="37" spans="1:9" ht="14.25" customHeight="1">
      <c r="A37" s="141" t="s">
        <v>377</v>
      </c>
      <c r="B37" s="144" t="s">
        <v>89</v>
      </c>
      <c r="C37" s="143">
        <f>'4. FaaS_Subscription'!C10</f>
        <v>-224200</v>
      </c>
      <c r="D37" s="143">
        <f>'4. FaaS_Subscription'!D10</f>
        <v>-264100</v>
      </c>
      <c r="E37" s="143">
        <f>'4. FaaS_Subscription'!E10</f>
        <v>-348900</v>
      </c>
      <c r="F37" s="143">
        <f>'4. FaaS_Subscription'!F10</f>
        <v>-517400</v>
      </c>
      <c r="G37" s="143">
        <f>'4. FaaS_Subscription'!G10</f>
        <v>-511700</v>
      </c>
      <c r="H37" s="143" t="str">
        <f>'4. FaaS_Subscription'!C11</f>
        <v>&gt;5 years</v>
      </c>
      <c r="I37" s="119"/>
    </row>
    <row r="38" spans="1:9" ht="14.25" customHeight="1">
      <c r="A38" s="126"/>
      <c r="B38" s="126"/>
      <c r="C38" s="145"/>
      <c r="D38" s="145"/>
      <c r="E38" s="145"/>
      <c r="F38" s="145"/>
      <c r="G38" s="145"/>
      <c r="H38" s="128"/>
      <c r="I38" s="119"/>
    </row>
    <row r="39" spans="1:9" ht="14.25" customHeight="1">
      <c r="A39" s="146"/>
      <c r="B39" s="146"/>
      <c r="C39" s="147"/>
      <c r="D39" s="147"/>
      <c r="E39" s="147"/>
      <c r="F39" s="147"/>
      <c r="G39" s="147"/>
      <c r="H39" s="146"/>
      <c r="I39" s="146"/>
    </row>
    <row r="40" spans="1:9" ht="14.25" customHeight="1">
      <c r="A40" s="146"/>
      <c r="B40" s="146"/>
      <c r="C40" s="147"/>
      <c r="D40" s="147"/>
      <c r="E40" s="147"/>
      <c r="F40" s="147"/>
      <c r="G40" s="147"/>
      <c r="H40" s="146"/>
      <c r="I40" s="146"/>
    </row>
    <row r="41" spans="1:9" ht="19.5" customHeight="1">
      <c r="A41" s="291" t="s">
        <v>378</v>
      </c>
      <c r="B41" s="291"/>
      <c r="C41" s="291"/>
      <c r="D41" s="291"/>
      <c r="E41" s="291"/>
      <c r="F41" s="291"/>
      <c r="G41" s="291"/>
      <c r="H41" s="291"/>
      <c r="I41" s="291"/>
    </row>
    <row r="42" spans="1:9" ht="28.5" customHeight="1">
      <c r="A42" s="148" t="s">
        <v>46</v>
      </c>
      <c r="B42" s="148" t="s">
        <v>379</v>
      </c>
      <c r="C42" s="148" t="s">
        <v>380</v>
      </c>
      <c r="D42" s="148" t="s">
        <v>381</v>
      </c>
      <c r="E42" s="148" t="s">
        <v>382</v>
      </c>
      <c r="F42" s="148" t="s">
        <v>383</v>
      </c>
      <c r="G42" s="148" t="s">
        <v>384</v>
      </c>
      <c r="H42" s="148" t="s">
        <v>375</v>
      </c>
      <c r="I42" s="146"/>
    </row>
    <row r="43" spans="1:9" ht="14.25" customHeight="1">
      <c r="A43" s="149" t="s">
        <v>385</v>
      </c>
      <c r="B43" s="150">
        <f>Current_Linear!G5</f>
        <v>12870000</v>
      </c>
      <c r="C43" s="150">
        <f>Current_Linear!G6</f>
        <v>8902000</v>
      </c>
      <c r="D43" s="150">
        <f>Current_Linear!G7</f>
        <v>3968000</v>
      </c>
      <c r="E43" s="150">
        <f>Current_Linear!G8</f>
        <v>0</v>
      </c>
      <c r="F43" s="150">
        <f>Current_Linear!G9</f>
        <v>3968000</v>
      </c>
      <c r="G43" s="150">
        <f>Current_Linear!G10</f>
        <v>21050000</v>
      </c>
      <c r="H43" s="151" t="s">
        <v>386</v>
      </c>
      <c r="I43" s="146"/>
    </row>
    <row r="44" spans="1:9" ht="14.25" customHeight="1">
      <c r="A44" s="152" t="s">
        <v>387</v>
      </c>
      <c r="B44" s="153"/>
      <c r="C44" s="153">
        <f>'1. Repair_Maintain'!G6</f>
        <v>366500</v>
      </c>
      <c r="D44" s="153">
        <f>'1. Repair_Maintain'!G7</f>
        <v>35000</v>
      </c>
      <c r="E44" s="153">
        <f>'1. Repair_Maintain'!G8</f>
        <v>0</v>
      </c>
      <c r="F44" s="153">
        <f>'1. Repair_Maintain'!G9</f>
        <v>35000</v>
      </c>
      <c r="G44" s="153">
        <f>'1. Repair_Maintain'!G10</f>
        <v>-22500</v>
      </c>
      <c r="H44" s="154" t="s">
        <v>388</v>
      </c>
      <c r="I44" s="146"/>
    </row>
    <row r="45" spans="1:9" ht="14.25" customHeight="1">
      <c r="A45" s="155" t="s">
        <v>389</v>
      </c>
      <c r="B45" s="156">
        <f>'2. Resell'!G5</f>
        <v>202510</v>
      </c>
      <c r="C45" s="156">
        <f>'2. Resell'!G6</f>
        <v>41000</v>
      </c>
      <c r="D45" s="156">
        <f>'2. Resell'!G7</f>
        <v>161510</v>
      </c>
      <c r="E45" s="156">
        <f>'2. Resell'!G8</f>
        <v>0</v>
      </c>
      <c r="F45" s="156">
        <f>'2. Resell'!G9</f>
        <v>161510</v>
      </c>
      <c r="G45" s="156">
        <f>'2. Resell'!G10</f>
        <v>395300</v>
      </c>
      <c r="H45" s="157" t="s">
        <v>390</v>
      </c>
      <c r="I45" s="146"/>
    </row>
    <row r="46" spans="1:9" ht="14.25" customHeight="1">
      <c r="A46" s="158" t="s">
        <v>391</v>
      </c>
      <c r="B46" s="159"/>
      <c r="C46" s="159">
        <f>'3. Remanufacture'!G6</f>
        <v>131100</v>
      </c>
      <c r="D46" s="159">
        <f>'3. Remanufacture'!G7</f>
        <v>71700</v>
      </c>
      <c r="E46" s="159">
        <f>'3. Remanufacture'!G8</f>
        <v>0</v>
      </c>
      <c r="F46" s="159">
        <f>'3. Remanufacture'!G9</f>
        <v>71700</v>
      </c>
      <c r="G46" s="159">
        <f>'3. Remanufacture'!G10</f>
        <v>81590</v>
      </c>
      <c r="H46" s="160" t="s">
        <v>392</v>
      </c>
      <c r="I46" s="146"/>
    </row>
    <row r="47" spans="1:9" ht="14.25" customHeight="1">
      <c r="A47" s="161" t="s">
        <v>393</v>
      </c>
      <c r="B47" s="162">
        <f>'4. FaaS_Subscription'!G5</f>
        <v>506000</v>
      </c>
      <c r="C47" s="162">
        <f>'4. FaaS_Subscription'!G6</f>
        <v>208300</v>
      </c>
      <c r="D47" s="162">
        <f>'4. FaaS_Subscription'!G7</f>
        <v>297700</v>
      </c>
      <c r="E47" s="162">
        <f>'4. FaaS_Subscription'!G8</f>
        <v>292000</v>
      </c>
      <c r="F47" s="162">
        <f>'4. FaaS_Subscription'!G9</f>
        <v>5700</v>
      </c>
      <c r="G47" s="162">
        <f>'4. FaaS_Subscription'!G10</f>
        <v>-511700</v>
      </c>
      <c r="H47" s="163" t="s">
        <v>394</v>
      </c>
      <c r="I47" s="146"/>
    </row>
    <row r="48" spans="1:9" ht="14.25" customHeight="1">
      <c r="A48" s="164" t="s">
        <v>395</v>
      </c>
      <c r="B48" s="165">
        <f>'1. Repair_Maintain'!G5+'2. Resell'!G5+'3. Remanufacture'!G5+'4. FaaS_Subscription'!G5</f>
        <v>1312810</v>
      </c>
      <c r="C48" s="165">
        <f>'1. Repair_Maintain'!G6+'2. Resell'!G6+'3. Remanufacture'!G6+'4. FaaS_Subscription'!G6</f>
        <v>746900</v>
      </c>
      <c r="D48" s="165">
        <f>'1. Repair_Maintain'!G7+'2. Resell'!G7+'3. Remanufacture'!G7+'4. FaaS_Subscription'!G7</f>
        <v>565910</v>
      </c>
      <c r="E48" s="165">
        <f>'1. Repair_Maintain'!G8+'2. Resell'!G8+'3. Remanufacture'!G8+'4. FaaS_Subscription'!G8</f>
        <v>292000</v>
      </c>
      <c r="F48" s="165">
        <f>'1. Repair_Maintain'!G9+'2. Resell'!G9+'3. Remanufacture'!G9+'4. FaaS_Subscription'!G9</f>
        <v>273910</v>
      </c>
      <c r="G48" s="165">
        <f>'1. Repair_Maintain'!G10+'2. Resell'!G10+'3. Remanufacture'!G10+'4. FaaS_Subscription'!G10</f>
        <v>-57310</v>
      </c>
      <c r="H48" s="166" t="s">
        <v>396</v>
      </c>
      <c r="I48" s="146"/>
    </row>
    <row r="49" spans="1:9" ht="14.25" customHeight="1">
      <c r="A49" s="146"/>
      <c r="B49" s="146"/>
      <c r="C49" s="146"/>
      <c r="D49" s="146"/>
      <c r="E49" s="146"/>
      <c r="F49" s="146"/>
      <c r="G49" s="146"/>
      <c r="H49" s="146"/>
      <c r="I49" s="146"/>
    </row>
    <row r="50" spans="1:9" ht="14.25" customHeight="1">
      <c r="A50" s="146"/>
      <c r="B50" s="146"/>
      <c r="C50" s="146"/>
      <c r="D50" s="146"/>
      <c r="E50" s="146"/>
      <c r="F50" s="146"/>
      <c r="G50" s="146"/>
      <c r="H50" s="146"/>
      <c r="I50" s="146"/>
    </row>
    <row r="51" spans="1:9" ht="19.5" customHeight="1">
      <c r="A51" s="291" t="s">
        <v>397</v>
      </c>
      <c r="B51" s="291"/>
      <c r="C51" s="291"/>
      <c r="D51" s="291"/>
      <c r="E51" s="291"/>
      <c r="F51" s="291"/>
      <c r="G51" s="291"/>
      <c r="H51" s="146"/>
      <c r="I51" s="146"/>
    </row>
    <row r="52" spans="1:9" ht="14.25" customHeight="1">
      <c r="A52" s="148" t="s">
        <v>46</v>
      </c>
      <c r="B52" s="70"/>
      <c r="C52" s="148" t="s">
        <v>72</v>
      </c>
      <c r="D52" s="148" t="s">
        <v>73</v>
      </c>
      <c r="E52" s="148" t="s">
        <v>74</v>
      </c>
      <c r="F52" s="148" t="s">
        <v>75</v>
      </c>
      <c r="G52" s="148" t="s">
        <v>76</v>
      </c>
      <c r="H52" s="146"/>
      <c r="I52" s="146"/>
    </row>
    <row r="53" spans="1:9" ht="14.25" customHeight="1">
      <c r="A53" s="149" t="s">
        <v>385</v>
      </c>
      <c r="B53" s="167"/>
      <c r="C53" s="150">
        <f>Current_Linear!C10</f>
        <v>4452000</v>
      </c>
      <c r="D53" s="150">
        <f>Current_Linear!D10</f>
        <v>8783000</v>
      </c>
      <c r="E53" s="150">
        <f>Current_Linear!E10</f>
        <v>12993000</v>
      </c>
      <c r="F53" s="150">
        <f>Current_Linear!F10</f>
        <v>17082000</v>
      </c>
      <c r="G53" s="150">
        <f>Current_Linear!G10</f>
        <v>21050000</v>
      </c>
      <c r="H53" s="146"/>
      <c r="I53" s="146"/>
    </row>
    <row r="54" spans="1:9" ht="14.25" customHeight="1">
      <c r="A54" s="152" t="s">
        <v>387</v>
      </c>
      <c r="B54" s="168"/>
      <c r="C54" s="153">
        <f>'1. Repair_Maintain'!C10</f>
        <v>-58000</v>
      </c>
      <c r="D54" s="153">
        <f>'1. Repair_Maintain'!D10</f>
        <v>-69000</v>
      </c>
      <c r="E54" s="153">
        <f>'1. Repair_Maintain'!E10</f>
        <v>-75500</v>
      </c>
      <c r="F54" s="153">
        <f>'1. Repair_Maintain'!F10</f>
        <v>-57500</v>
      </c>
      <c r="G54" s="153">
        <f>'1. Repair_Maintain'!G10</f>
        <v>-22500</v>
      </c>
      <c r="H54" s="146"/>
      <c r="I54" s="146"/>
    </row>
    <row r="55" spans="1:9" ht="14.25" customHeight="1">
      <c r="A55" s="155" t="s">
        <v>389</v>
      </c>
      <c r="B55" s="169"/>
      <c r="C55" s="156">
        <f>'2. Resell'!C10</f>
        <v>-19490</v>
      </c>
      <c r="D55" s="156">
        <f>'2. Resell'!D10</f>
        <v>21770</v>
      </c>
      <c r="E55" s="156">
        <f>'2. Resell'!E10</f>
        <v>100030</v>
      </c>
      <c r="F55" s="156">
        <f>'2. Resell'!F10</f>
        <v>233790</v>
      </c>
      <c r="G55" s="156">
        <f>'2. Resell'!G10</f>
        <v>395300</v>
      </c>
      <c r="H55" s="146"/>
      <c r="I55" s="146"/>
    </row>
    <row r="56" spans="1:9" ht="14.25" customHeight="1">
      <c r="A56" s="158" t="s">
        <v>391</v>
      </c>
      <c r="B56" s="170"/>
      <c r="C56" s="159">
        <f>'3. Remanufacture'!C10</f>
        <v>-72460</v>
      </c>
      <c r="D56" s="159">
        <f>'3. Remanufacture'!D10</f>
        <v>-65660</v>
      </c>
      <c r="E56" s="159">
        <f>'3. Remanufacture'!E10</f>
        <v>-44110</v>
      </c>
      <c r="F56" s="159">
        <f>'3. Remanufacture'!F10</f>
        <v>9890</v>
      </c>
      <c r="G56" s="159">
        <f>'3. Remanufacture'!G10</f>
        <v>81590</v>
      </c>
      <c r="H56" s="146"/>
      <c r="I56" s="146"/>
    </row>
    <row r="57" spans="1:9" ht="14.25" customHeight="1">
      <c r="A57" s="161" t="s">
        <v>393</v>
      </c>
      <c r="B57" s="171"/>
      <c r="C57" s="162">
        <f>'4. FaaS_Subscription'!C10</f>
        <v>-224200</v>
      </c>
      <c r="D57" s="162">
        <f>'4. FaaS_Subscription'!D10</f>
        <v>-264100</v>
      </c>
      <c r="E57" s="162">
        <f>'4. FaaS_Subscription'!E10</f>
        <v>-348900</v>
      </c>
      <c r="F57" s="162">
        <f>'4. FaaS_Subscription'!F10</f>
        <v>-517400</v>
      </c>
      <c r="G57" s="162">
        <f>'4. FaaS_Subscription'!G10</f>
        <v>-511700</v>
      </c>
      <c r="H57" s="146"/>
      <c r="I57" s="146"/>
    </row>
    <row r="61" spans="1:9" ht="14.25" customHeight="1">
      <c r="A61" s="172" t="s">
        <v>398</v>
      </c>
    </row>
    <row r="62" spans="1:9" ht="14.25" customHeight="1">
      <c r="B62" s="173" t="s">
        <v>94</v>
      </c>
      <c r="C62" s="173" t="s">
        <v>95</v>
      </c>
      <c r="D62" s="173" t="s">
        <v>96</v>
      </c>
      <c r="E62" s="173" t="s">
        <v>97</v>
      </c>
      <c r="F62" s="173" t="s">
        <v>98</v>
      </c>
    </row>
    <row r="63" spans="1:9" ht="14.25" customHeight="1">
      <c r="A63" s="174" t="s">
        <v>376</v>
      </c>
      <c r="B63" s="8">
        <f>Current_Linear!C5</f>
        <v>14430000</v>
      </c>
      <c r="C63" s="8">
        <f>Current_Linear!D5</f>
        <v>14040000</v>
      </c>
      <c r="D63" s="8">
        <f>Current_Linear!E5</f>
        <v>13650000</v>
      </c>
      <c r="E63" s="8">
        <f>Current_Linear!F5</f>
        <v>13260000</v>
      </c>
      <c r="F63" s="8">
        <f>Current_Linear!G5</f>
        <v>12870000</v>
      </c>
    </row>
    <row r="64" spans="1:9" ht="14.25" customHeight="1">
      <c r="A64" s="174" t="s">
        <v>54</v>
      </c>
      <c r="B64" s="7">
        <f>'1. Repair_Maintain'!C5</f>
        <v>36500</v>
      </c>
      <c r="C64" s="7">
        <f>'1. Repair_Maintain'!D5</f>
        <v>87600</v>
      </c>
      <c r="D64" s="7">
        <f>'1. Repair_Maintain'!E5</f>
        <v>160600</v>
      </c>
      <c r="E64" s="7">
        <f>'1. Repair_Maintain'!F5</f>
        <v>292000</v>
      </c>
      <c r="F64" s="7">
        <f>'1. Repair_Maintain'!G5</f>
        <v>401500</v>
      </c>
    </row>
    <row r="65" spans="1:6" ht="14.25" customHeight="1">
      <c r="A65" s="174" t="s">
        <v>58</v>
      </c>
      <c r="B65" s="7">
        <f>'2. Resell'!C5</f>
        <v>22510</v>
      </c>
      <c r="C65" s="7">
        <f>'2. Resell'!D5</f>
        <v>56260</v>
      </c>
      <c r="D65" s="7">
        <f>'2. Resell'!E5</f>
        <v>101260</v>
      </c>
      <c r="E65" s="7">
        <f>'2. Resell'!F5</f>
        <v>168760</v>
      </c>
      <c r="F65" s="7">
        <f>'2. Resell'!G5</f>
        <v>202510</v>
      </c>
    </row>
    <row r="66" spans="1:6" ht="14.25" customHeight="1">
      <c r="A66" s="174" t="s">
        <v>62</v>
      </c>
      <c r="B66" s="7">
        <f>'3. Remanufacture'!C5</f>
        <v>9360</v>
      </c>
      <c r="C66" s="7">
        <f>'3. Remanufacture'!D5</f>
        <v>31200</v>
      </c>
      <c r="D66" s="7">
        <f>'3. Remanufacture'!E5</f>
        <v>70200</v>
      </c>
      <c r="E66" s="7">
        <f>'3. Remanufacture'!F5</f>
        <v>156000</v>
      </c>
      <c r="F66" s="7">
        <f>'3. Remanufacture'!G5</f>
        <v>202800</v>
      </c>
    </row>
    <row r="67" spans="1:6" ht="14.25" customHeight="1">
      <c r="A67" s="174" t="s">
        <v>377</v>
      </c>
      <c r="B67" s="8">
        <f>'4. FaaS_Subscription'!C5</f>
        <v>59200</v>
      </c>
      <c r="C67" s="8">
        <f>'4. FaaS_Subscription'!D5</f>
        <v>106200</v>
      </c>
      <c r="D67" s="8">
        <f>'4. FaaS_Subscription'!E5</f>
        <v>206000</v>
      </c>
      <c r="E67" s="8">
        <f>'4. FaaS_Subscription'!F5</f>
        <v>417000</v>
      </c>
      <c r="F67" s="8">
        <f>'4. FaaS_Subscription'!G5</f>
        <v>506000</v>
      </c>
    </row>
    <row r="70" spans="1:6" ht="14.25" customHeight="1">
      <c r="A70" s="172" t="s">
        <v>399</v>
      </c>
    </row>
    <row r="71" spans="1:6" ht="14.25" customHeight="1">
      <c r="B71" s="173" t="s">
        <v>94</v>
      </c>
      <c r="C71" s="173" t="s">
        <v>95</v>
      </c>
      <c r="D71" s="173" t="s">
        <v>96</v>
      </c>
      <c r="E71" s="173" t="s">
        <v>97</v>
      </c>
      <c r="F71" s="173" t="s">
        <v>98</v>
      </c>
    </row>
    <row r="72" spans="1:6" ht="14.25" customHeight="1">
      <c r="A72" s="174" t="s">
        <v>376</v>
      </c>
      <c r="B72" s="8">
        <f>Current_Linear!C7</f>
        <v>4452000</v>
      </c>
      <c r="C72" s="8">
        <f>Current_Linear!D7</f>
        <v>4331000</v>
      </c>
      <c r="D72" s="8">
        <f>Current_Linear!E7</f>
        <v>4210000</v>
      </c>
      <c r="E72" s="8">
        <f>Current_Linear!F7</f>
        <v>4089000</v>
      </c>
      <c r="F72" s="8">
        <f>Current_Linear!G7</f>
        <v>3968000</v>
      </c>
    </row>
    <row r="73" spans="1:6" ht="14.25" customHeight="1">
      <c r="A73" s="174" t="s">
        <v>54</v>
      </c>
      <c r="B73" s="7">
        <f>'1. Repair_Maintain'!C7</f>
        <v>-8000</v>
      </c>
      <c r="C73" s="7">
        <f>'1. Repair_Maintain'!D7</f>
        <v>-11000</v>
      </c>
      <c r="D73" s="7">
        <f>'1. Repair_Maintain'!E7</f>
        <v>-6500</v>
      </c>
      <c r="E73" s="7">
        <f>'1. Repair_Maintain'!F7</f>
        <v>18000</v>
      </c>
      <c r="F73" s="7">
        <f>'1. Repair_Maintain'!G7</f>
        <v>35000</v>
      </c>
    </row>
    <row r="74" spans="1:6" ht="14.25" customHeight="1">
      <c r="A74" s="174" t="s">
        <v>58</v>
      </c>
      <c r="B74" s="7">
        <f>'2. Resell'!C7</f>
        <v>13510</v>
      </c>
      <c r="C74" s="7">
        <f>'2. Resell'!D7</f>
        <v>41260</v>
      </c>
      <c r="D74" s="7">
        <f>'2. Resell'!E7</f>
        <v>78260</v>
      </c>
      <c r="E74" s="7">
        <f>'2. Resell'!F7</f>
        <v>133760</v>
      </c>
      <c r="F74" s="7">
        <f>'2. Resell'!G7</f>
        <v>161510</v>
      </c>
    </row>
    <row r="75" spans="1:6" ht="14.25" customHeight="1">
      <c r="A75" s="174" t="s">
        <v>62</v>
      </c>
      <c r="B75" s="7">
        <f>'3. Remanufacture'!C7</f>
        <v>-1460</v>
      </c>
      <c r="C75" s="7">
        <f>'3. Remanufacture'!D7</f>
        <v>6800</v>
      </c>
      <c r="D75" s="7">
        <f>'3. Remanufacture'!E7</f>
        <v>21550</v>
      </c>
      <c r="E75" s="7">
        <f>'3. Remanufacture'!F7</f>
        <v>54000</v>
      </c>
      <c r="F75" s="7">
        <f>'3. Remanufacture'!G7</f>
        <v>71700</v>
      </c>
    </row>
    <row r="76" spans="1:6" ht="14.25" customHeight="1">
      <c r="A76" s="174" t="s">
        <v>377</v>
      </c>
      <c r="B76" s="8">
        <f>'4. FaaS_Subscription'!C7</f>
        <v>43300</v>
      </c>
      <c r="C76" s="8">
        <f>'4. FaaS_Subscription'!D7</f>
        <v>63800</v>
      </c>
      <c r="D76" s="8">
        <f>'4. FaaS_Subscription'!E7</f>
        <v>126500</v>
      </c>
      <c r="E76" s="8">
        <f>'4. FaaS_Subscription'!F7</f>
        <v>258000</v>
      </c>
      <c r="F76" s="8">
        <f>'4. FaaS_Subscription'!G7</f>
        <v>297700</v>
      </c>
    </row>
    <row r="79" spans="1:6" ht="14.25" customHeight="1">
      <c r="A79" s="172" t="s">
        <v>400</v>
      </c>
    </row>
    <row r="80" spans="1:6" ht="14.25" customHeight="1">
      <c r="A80" s="173" t="s">
        <v>46</v>
      </c>
      <c r="B80" s="173" t="s">
        <v>401</v>
      </c>
      <c r="C80" s="173" t="s">
        <v>402</v>
      </c>
      <c r="D80" s="173" t="s">
        <v>403</v>
      </c>
      <c r="E80" s="173" t="s">
        <v>404</v>
      </c>
    </row>
    <row r="81" spans="1:5" ht="14.25" customHeight="1">
      <c r="A81" s="174" t="s">
        <v>376</v>
      </c>
      <c r="B81" s="175">
        <f>Current_Linear!G5</f>
        <v>12870000</v>
      </c>
      <c r="C81" s="175">
        <f>Current_Linear!G6</f>
        <v>8902000</v>
      </c>
      <c r="D81" s="175">
        <f>Current_Linear!G7</f>
        <v>3968000</v>
      </c>
      <c r="E81" s="175">
        <f>Current_Linear!G9</f>
        <v>3968000</v>
      </c>
    </row>
    <row r="82" spans="1:5" ht="14.25" customHeight="1">
      <c r="A82" s="174" t="s">
        <v>54</v>
      </c>
      <c r="B82" s="175">
        <f>'1. Repair_Maintain'!G5</f>
        <v>401500</v>
      </c>
      <c r="C82" s="175">
        <f>'1. Repair_Maintain'!G6</f>
        <v>366500</v>
      </c>
      <c r="D82" s="175">
        <f>'1. Repair_Maintain'!G7</f>
        <v>35000</v>
      </c>
      <c r="E82" s="175">
        <f>'1. Repair_Maintain'!G9</f>
        <v>35000</v>
      </c>
    </row>
    <row r="83" spans="1:5" ht="14.25" customHeight="1">
      <c r="A83" s="174" t="s">
        <v>58</v>
      </c>
      <c r="B83" s="175">
        <f>'2. Resell'!G5</f>
        <v>202510</v>
      </c>
      <c r="C83" s="175">
        <f>'2. Resell'!G6</f>
        <v>41000</v>
      </c>
      <c r="D83" s="175">
        <f>'2. Resell'!G7</f>
        <v>161510</v>
      </c>
      <c r="E83" s="175">
        <f>'2. Resell'!G9</f>
        <v>161510</v>
      </c>
    </row>
    <row r="84" spans="1:5" ht="14.25" customHeight="1">
      <c r="A84" s="174" t="s">
        <v>62</v>
      </c>
      <c r="B84" s="175">
        <f>'3. Remanufacture'!G5</f>
        <v>202800</v>
      </c>
      <c r="C84" s="175">
        <f>'3. Remanufacture'!G6</f>
        <v>131100</v>
      </c>
      <c r="D84" s="175">
        <f>'3. Remanufacture'!G7</f>
        <v>71700</v>
      </c>
      <c r="E84" s="175">
        <f>'3. Remanufacture'!G9</f>
        <v>71700</v>
      </c>
    </row>
    <row r="85" spans="1:5" ht="14.25" customHeight="1">
      <c r="A85" s="174" t="s">
        <v>377</v>
      </c>
      <c r="B85" s="175">
        <f>'4. FaaS_Subscription'!G5</f>
        <v>506000</v>
      </c>
      <c r="C85" s="175">
        <f>'4. FaaS_Subscription'!G6</f>
        <v>208300</v>
      </c>
      <c r="D85" s="175">
        <f>'4. FaaS_Subscription'!G7</f>
        <v>297700</v>
      </c>
      <c r="E85" s="175">
        <f>'4. FaaS_Subscription'!G9</f>
        <v>5700</v>
      </c>
    </row>
    <row r="130" spans="1:12" ht="18" customHeight="1">
      <c r="A130" s="212" t="s">
        <v>405</v>
      </c>
      <c r="B130" s="212"/>
      <c r="C130" s="212"/>
      <c r="D130" s="212"/>
      <c r="E130" s="212"/>
      <c r="F130" s="212"/>
      <c r="G130" s="212"/>
      <c r="H130" s="212"/>
      <c r="I130" s="212"/>
      <c r="J130" s="212"/>
    </row>
    <row r="131" spans="1:12" ht="14.25" customHeight="1">
      <c r="A131" s="70" t="s">
        <v>46</v>
      </c>
      <c r="B131" s="70" t="s">
        <v>406</v>
      </c>
      <c r="C131" s="70" t="s">
        <v>407</v>
      </c>
      <c r="D131" s="70" t="s">
        <v>408</v>
      </c>
      <c r="E131" s="70" t="s">
        <v>409</v>
      </c>
      <c r="F131" s="70" t="s">
        <v>410</v>
      </c>
    </row>
    <row r="132" spans="1:12" ht="14.25" customHeight="1">
      <c r="A132" s="176" t="s">
        <v>411</v>
      </c>
      <c r="B132" s="177">
        <f>'1. Repair_Maintain'!C51</f>
        <v>75</v>
      </c>
      <c r="C132" s="292" t="str">
        <f>'1. Repair_Maintain'!C52</f>
        <v>🟢 High — projections are likely achievable</v>
      </c>
      <c r="D132" s="292"/>
      <c r="E132" s="292"/>
      <c r="F132" s="178">
        <f>'1. Repair_Maintain'!C53</f>
        <v>0.75</v>
      </c>
      <c r="G132" s="179">
        <f>'1. Repair_Maintain'!C54</f>
        <v>1.25</v>
      </c>
      <c r="H132" s="180" t="str">
        <f>IF('1. Repair_Maintain'!C51&gt;=65,"High — tight scenario range (±25%)",IF('1. Repair_Maintain'!C51&gt;=40,"Medium — moderate range (±35–40%)","Low — wide range (±45–55%); validate assumptions"))</f>
        <v>High — tight scenario range (±25%)</v>
      </c>
    </row>
    <row r="133" spans="1:12" ht="14.25" customHeight="1">
      <c r="A133" s="181" t="s">
        <v>58</v>
      </c>
      <c r="B133" s="182">
        <f>'2. Resell'!C45</f>
        <v>42</v>
      </c>
      <c r="C133" s="293" t="str">
        <f>'2. Resell'!C46</f>
        <v>🟡 Medium — projections require market validation</v>
      </c>
      <c r="D133" s="293"/>
      <c r="E133" s="293"/>
      <c r="F133" s="178">
        <f>'2. Resell'!C47</f>
        <v>0.6</v>
      </c>
      <c r="G133" s="179">
        <f>'2. Resell'!C48</f>
        <v>1.4</v>
      </c>
      <c r="H133" s="183" t="str">
        <f>IF('2. Resell'!C45&gt;=65,"High — tight scenario range (±25%)",IF('2. Resell'!C45&gt;=40,"Medium — moderate range (±35–40%)","Low — wide range (±45–55%); validate assumptions"))</f>
        <v>Medium — moderate range (±35–40%)</v>
      </c>
    </row>
    <row r="134" spans="1:12" ht="14.25" customHeight="1">
      <c r="A134" s="184" t="s">
        <v>62</v>
      </c>
      <c r="B134" s="185">
        <f>'3. Remanufacture'!C50</f>
        <v>54</v>
      </c>
      <c r="C134" s="294" t="str">
        <f>'3. Remanufacture'!C51</f>
        <v>🟡 Medium — projections require market validation</v>
      </c>
      <c r="D134" s="294"/>
      <c r="E134" s="294"/>
      <c r="F134" s="178">
        <f>'3. Remanufacture'!C52</f>
        <v>0.6</v>
      </c>
      <c r="G134" s="179">
        <f>'3. Remanufacture'!C53</f>
        <v>1.4</v>
      </c>
      <c r="H134" s="186" t="str">
        <f>IF('3. Remanufacture'!C50&gt;=65,"High — tight scenario range (±25%)",IF('3. Remanufacture'!C50&gt;=40,"Medium — moderate range (±35–40%)","Low — wide range (±45–55%); validate assumptions"))</f>
        <v>Medium — moderate range (±35–40%)</v>
      </c>
    </row>
    <row r="135" spans="1:12" ht="14.25" customHeight="1">
      <c r="A135" s="187" t="s">
        <v>377</v>
      </c>
      <c r="B135" s="188">
        <f>'4. FaaS_Subscription'!C58</f>
        <v>51</v>
      </c>
      <c r="C135" s="295" t="str">
        <f>'4. FaaS_Subscription'!C59</f>
        <v>🟡 Medium — projections require market validation</v>
      </c>
      <c r="D135" s="295"/>
      <c r="E135" s="295"/>
      <c r="F135" s="178">
        <f>'4. FaaS_Subscription'!C60</f>
        <v>0.6</v>
      </c>
      <c r="G135" s="179">
        <f>'4. FaaS_Subscription'!C61</f>
        <v>1.4</v>
      </c>
      <c r="H135" s="189" t="str">
        <f>IF('4. FaaS_Subscription'!C58&gt;=65,"High — tight scenario range (±25%)",IF('4. FaaS_Subscription'!C58&gt;=40,"Medium — moderate range (±35–40%)","Low — wide range (±45–55%); validate assumptions"))</f>
        <v>Medium — moderate range (±35–40%)</v>
      </c>
    </row>
    <row r="138" spans="1:12" ht="18" customHeight="1">
      <c r="A138" s="212" t="s">
        <v>412</v>
      </c>
      <c r="B138" s="212"/>
      <c r="C138" s="212"/>
      <c r="D138" s="212"/>
      <c r="E138" s="212"/>
      <c r="F138" s="212"/>
      <c r="G138" s="212"/>
      <c r="H138" s="212"/>
      <c r="I138" s="1"/>
      <c r="J138" s="1"/>
      <c r="K138" s="1"/>
      <c r="L138" s="1"/>
    </row>
    <row r="139" spans="1:12" ht="30" customHeight="1">
      <c r="A139" s="2" t="s">
        <v>46</v>
      </c>
      <c r="B139" s="190" t="s">
        <v>413</v>
      </c>
      <c r="C139" s="191" t="s">
        <v>414</v>
      </c>
      <c r="D139" s="192" t="s">
        <v>415</v>
      </c>
      <c r="E139" s="190" t="s">
        <v>416</v>
      </c>
      <c r="F139" s="191" t="s">
        <v>417</v>
      </c>
      <c r="G139" s="192" t="s">
        <v>418</v>
      </c>
      <c r="H139" s="190" t="s">
        <v>419</v>
      </c>
      <c r="I139" s="191" t="s">
        <v>420</v>
      </c>
      <c r="J139" s="192" t="s">
        <v>421</v>
      </c>
      <c r="K139" s="190" t="s">
        <v>422</v>
      </c>
      <c r="L139" s="192" t="s">
        <v>423</v>
      </c>
    </row>
    <row r="140" spans="1:12" ht="14.25" customHeight="1">
      <c r="A140" s="176" t="s">
        <v>411</v>
      </c>
      <c r="B140" s="193">
        <f>'1. Repair_Maintain'!G58</f>
        <v>301125</v>
      </c>
      <c r="C140" s="194">
        <f>'1. Repair_Maintain'!G59</f>
        <v>401500</v>
      </c>
      <c r="D140" s="195">
        <f>'1. Repair_Maintain'!G60</f>
        <v>501875</v>
      </c>
      <c r="E140" s="193">
        <f>'1. Repair_Maintain'!G62</f>
        <v>-65375</v>
      </c>
      <c r="F140" s="194">
        <f>'1. Repair_Maintain'!G63</f>
        <v>35000</v>
      </c>
      <c r="G140" s="195">
        <f>'1. Repair_Maintain'!G64</f>
        <v>135375</v>
      </c>
      <c r="H140" s="193">
        <f>'1. Repair_Maintain'!G70</f>
        <v>-267050</v>
      </c>
      <c r="I140" s="194">
        <f>'1. Repair_Maintain'!G71</f>
        <v>-22500</v>
      </c>
      <c r="J140" s="195">
        <f>'1. Repair_Maintain'!G72</f>
        <v>222050</v>
      </c>
      <c r="K140" s="196" t="str">
        <f>'1. Repair_Maintain'!C74</f>
        <v>&gt;5 years</v>
      </c>
      <c r="L140" s="197" t="str">
        <f>'1. Repair_Maintain'!C76</f>
        <v>Year 4</v>
      </c>
    </row>
    <row r="141" spans="1:12" ht="14.25" customHeight="1">
      <c r="A141" s="181" t="s">
        <v>58</v>
      </c>
      <c r="B141" s="193">
        <f>'2. Resell'!G52</f>
        <v>121506</v>
      </c>
      <c r="C141" s="194">
        <f>'2. Resell'!G53</f>
        <v>202510</v>
      </c>
      <c r="D141" s="195">
        <f>'2. Resell'!G54</f>
        <v>283514</v>
      </c>
      <c r="E141" s="193">
        <f>'2. Resell'!G56</f>
        <v>80506</v>
      </c>
      <c r="F141" s="194">
        <f>'2. Resell'!G57</f>
        <v>161510</v>
      </c>
      <c r="G141" s="195">
        <f>'2. Resell'!G58</f>
        <v>242514</v>
      </c>
      <c r="H141" s="193">
        <f>'2. Resell'!G64</f>
        <v>174780</v>
      </c>
      <c r="I141" s="194">
        <f>'2. Resell'!G65</f>
        <v>395300</v>
      </c>
      <c r="J141" s="195">
        <f>'2. Resell'!G66</f>
        <v>615820</v>
      </c>
      <c r="K141" s="196" t="str">
        <f>'2. Resell'!C68</f>
        <v>Year 3</v>
      </c>
      <c r="L141" s="197" t="str">
        <f>'2. Resell'!C70</f>
        <v>Year 2</v>
      </c>
    </row>
    <row r="142" spans="1:12" ht="14.25" customHeight="1">
      <c r="A142" s="184" t="s">
        <v>62</v>
      </c>
      <c r="B142" s="193">
        <f>'3. Remanufacture'!G57</f>
        <v>121680</v>
      </c>
      <c r="C142" s="194">
        <f>'3. Remanufacture'!G58</f>
        <v>202800</v>
      </c>
      <c r="D142" s="195">
        <f>'3. Remanufacture'!G59</f>
        <v>283920</v>
      </c>
      <c r="E142" s="193">
        <f>'3. Remanufacture'!G61</f>
        <v>-9420</v>
      </c>
      <c r="F142" s="194">
        <f>'3. Remanufacture'!G62</f>
        <v>71700</v>
      </c>
      <c r="G142" s="195">
        <f>'3. Remanufacture'!G63</f>
        <v>152820</v>
      </c>
      <c r="H142" s="193">
        <f>'3. Remanufacture'!G69</f>
        <v>-106234</v>
      </c>
      <c r="I142" s="194">
        <f>'3. Remanufacture'!G70</f>
        <v>81590</v>
      </c>
      <c r="J142" s="195">
        <f>'3. Remanufacture'!G71</f>
        <v>269414</v>
      </c>
      <c r="K142" s="196" t="str">
        <f>'3. Remanufacture'!C73</f>
        <v>&gt;5 years</v>
      </c>
      <c r="L142" s="197" t="str">
        <f>'3. Remanufacture'!C75</f>
        <v>Year 3</v>
      </c>
    </row>
    <row r="143" spans="1:12" ht="14.25" customHeight="1">
      <c r="A143" s="187" t="s">
        <v>377</v>
      </c>
      <c r="B143" s="193">
        <f>'4. FaaS_Subscription'!G65</f>
        <v>303600</v>
      </c>
      <c r="C143" s="194">
        <f>'4. FaaS_Subscription'!G66</f>
        <v>506000</v>
      </c>
      <c r="D143" s="195">
        <f>'4. FaaS_Subscription'!G67</f>
        <v>708400</v>
      </c>
      <c r="E143" s="193">
        <f>'4. FaaS_Subscription'!G69</f>
        <v>95300</v>
      </c>
      <c r="F143" s="194">
        <f>'4. FaaS_Subscription'!G70</f>
        <v>297700</v>
      </c>
      <c r="G143" s="195">
        <f>'4. FaaS_Subscription'!G71</f>
        <v>500100</v>
      </c>
      <c r="H143" s="193">
        <f>'4. FaaS_Subscription'!G77</f>
        <v>-1029460</v>
      </c>
      <c r="I143" s="194">
        <f>'4. FaaS_Subscription'!G78</f>
        <v>-511700</v>
      </c>
      <c r="J143" s="195">
        <f>'4. FaaS_Subscription'!G79</f>
        <v>6060</v>
      </c>
      <c r="K143" s="196" t="str">
        <f>'4. FaaS_Subscription'!C81</f>
        <v>&gt;5 years</v>
      </c>
      <c r="L143" s="197" t="str">
        <f>'4. FaaS_Subscription'!C83</f>
        <v>Year 5</v>
      </c>
    </row>
  </sheetData>
  <mergeCells count="10">
    <mergeCell ref="C132:E132"/>
    <mergeCell ref="C133:E133"/>
    <mergeCell ref="C134:E134"/>
    <mergeCell ref="C135:E135"/>
    <mergeCell ref="A138:H138"/>
    <mergeCell ref="A1:I1"/>
    <mergeCell ref="A2:I2"/>
    <mergeCell ref="A41:I41"/>
    <mergeCell ref="A51:G51"/>
    <mergeCell ref="A130:J130"/>
  </mergeCells>
  <pageMargins left="0.75" right="0.75" top="1" bottom="1" header="0.5" footer="0.511811023622047"/>
  <pageSetup paperSize="9" orientation="portrait" horizontalDpi="300" verticalDpi="300"/>
  <headerFooter>
    <oddHeader>&amp;L&amp;"Aptos,Regular"&amp;1  UWASA - Luottamuksellinen - Confidential (3Y)#_x005F_x000d_</oddHeader>
  </headerFooter>
  <colBreaks count="1" manualBreakCount="1">
    <brk id="9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showGridLines="0" showRowColHeaders="0" tabSelected="1" zoomScale="120" zoomScaleNormal="120" workbookViewId="0">
      <pane xSplit="1" ySplit="3" topLeftCell="B39" activePane="bottomRight" state="frozen"/>
      <selection pane="topRight" activeCell="B1" sqref="B1"/>
      <selection pane="bottomLeft" activeCell="A4" sqref="A4"/>
      <selection pane="bottomRight" activeCell="D5" sqref="D5:E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54296875" defaultRowHeight="14.5"/>
  <cols>
    <col min="1" max="1" width="1" customWidth="1"/>
    <col min="2" max="2" width="28" customWidth="1"/>
    <col min="3" max="3" width="3" customWidth="1"/>
    <col min="4" max="8" width="16" customWidth="1"/>
    <col min="9" max="9" width="3" customWidth="1"/>
    <col min="10" max="10" width="20" customWidth="1"/>
    <col min="11" max="11" width="3" customWidth="1"/>
    <col min="12" max="12" width="20" customWidth="1"/>
    <col min="13" max="13" width="3" customWidth="1"/>
    <col min="14" max="14" width="18" customWidth="1"/>
    <col min="15" max="15" width="3" customWidth="1"/>
    <col min="16" max="16" width="18" customWidth="1"/>
  </cols>
  <sheetData>
    <row r="1" spans="1:16" ht="36" customHeight="1">
      <c r="A1" s="210" t="s">
        <v>424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8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7.5" customHeight="1"/>
    <row r="4" spans="1:16" ht="15.75" customHeight="1">
      <c r="B4" s="212" t="s">
        <v>425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1:16" ht="19.5" customHeight="1">
      <c r="B5" s="213" t="s">
        <v>426</v>
      </c>
      <c r="C5" s="213"/>
      <c r="D5" s="214" t="s">
        <v>427</v>
      </c>
      <c r="E5" s="214"/>
      <c r="F5" s="215" t="str">
        <f>IF(AND('1. Repair_Maintain'!G5&gt;0,'2. Resell'!G5&gt;0,'3. Remanufacture'!G5&gt;0,'4. FaaS_Subscription'!G5&gt;0),"Highest EBITDA Margin — "&amp; IF(MAX('1. Repair_Maintain'!G7/'1. Repair_Maintain'!G5,'2. Resell'!G7/'2. Resell'!G5,'3. Remanufacture'!G7/'3. Remanufacture'!G5,'4. FaaS_Subscription'!G7/'4. FaaS_Subscription'!G5)='1. Repair_Maintain'!G7/'1. Repair_Maintain'!G5,"Repair",IF(MAX('1. Repair_Maintain'!G7/'1. Repair_Maintain'!G5,'2. Resell'!G7/'2. Resell'!G5,'3. Remanufacture'!G7/'3. Remanufacture'!G5,'4. FaaS_Subscription'!G7/'4. FaaS_Subscription'!G5)='2. Resell'!G7/'2. Resell'!G5,"Resell",IF(MAX('1. Repair_Maintain'!G7/'1. Repair_Maintain'!G5,'2. Resell'!G7/'2. Resell'!G5,'3. Remanufacture'!G7/'3. Remanufacture'!G5,'4. FaaS_Subscription'!G7/'4. FaaS_Subscription'!G5)='3. Remanufacture'!G7/'3. Remanufacture'!G5,"Remanufacture","PaaS"))),"Highest EBITDA Margin (fill model sheets)")</f>
        <v>Highest EBITDA Margin — Resell</v>
      </c>
      <c r="G5" s="215"/>
      <c r="H5" s="216" t="s">
        <v>428</v>
      </c>
      <c r="I5" s="216"/>
      <c r="J5" s="217" t="s">
        <v>429</v>
      </c>
      <c r="K5" s="217"/>
    </row>
    <row r="6" spans="1:16" ht="31.5" customHeight="1">
      <c r="B6" s="218">
        <f>'1. Repair_Maintain'!G5+'2. Resell'!G5+'3. Remanufacture'!G5+'4. FaaS_Subscription'!G5</f>
        <v>1312810</v>
      </c>
      <c r="C6" s="218"/>
      <c r="D6" s="219">
        <f>('1. Repair_Maintain'!G5+'2. Resell'!G5+'3. Remanufacture'!G5+'4. FaaS_Subscription'!G5)/Current_Linear!G5</f>
        <v>0.102005439005439</v>
      </c>
      <c r="E6" s="219"/>
      <c r="F6" s="220">
        <f>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</f>
        <v>0.79754086217964548</v>
      </c>
      <c r="G6" s="220"/>
      <c r="H6" s="221">
        <f>'1. Repair_Maintain'!G7+'2. Resell'!G7+'3. Remanufacture'!G7+'4. FaaS_Subscription'!G7</f>
        <v>565910</v>
      </c>
      <c r="I6" s="221"/>
      <c r="J6" s="222">
        <f>'1. Repair_Maintain'!C8+'2. Resell'!C8+'3. Remanufacture'!C8+'4. FaaS_Subscription'!C8</f>
        <v>421500</v>
      </c>
      <c r="K6" s="222"/>
    </row>
    <row r="7" spans="1:16" ht="21.75" customHeight="1">
      <c r="B7" s="223" t="s">
        <v>430</v>
      </c>
      <c r="C7" s="223"/>
      <c r="D7" s="224" t="s">
        <v>431</v>
      </c>
      <c r="E7" s="224"/>
      <c r="F7" s="225" t="s">
        <v>432</v>
      </c>
      <c r="G7" s="225"/>
      <c r="H7" s="226" t="s">
        <v>433</v>
      </c>
      <c r="I7" s="226"/>
      <c r="J7" s="227" t="s">
        <v>434</v>
      </c>
      <c r="K7" s="227"/>
    </row>
    <row r="8" spans="1:16" ht="7.5" customHeight="1"/>
    <row r="9" spans="1:16" ht="15.75" customHeight="1">
      <c r="B9" s="212" t="s">
        <v>435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</row>
    <row r="10" spans="1:16" ht="21.75" customHeight="1">
      <c r="B10" s="228" t="s">
        <v>436</v>
      </c>
      <c r="C10" s="228"/>
      <c r="D10" s="228" t="s">
        <v>437</v>
      </c>
      <c r="E10" s="228"/>
      <c r="F10" s="228" t="s">
        <v>438</v>
      </c>
      <c r="G10" s="228"/>
      <c r="H10" s="228" t="s">
        <v>439</v>
      </c>
      <c r="I10" s="228"/>
      <c r="J10" s="228" t="s">
        <v>407</v>
      </c>
      <c r="K10" s="228"/>
      <c r="L10" s="228" t="s">
        <v>440</v>
      </c>
      <c r="M10" s="228"/>
    </row>
    <row r="11" spans="1:16" ht="19.5" customHeight="1">
      <c r="B11" s="229" t="s">
        <v>441</v>
      </c>
      <c r="C11" s="229"/>
      <c r="D11" s="230" t="s">
        <v>442</v>
      </c>
      <c r="E11" s="230"/>
      <c r="F11" s="231">
        <f>'2. Resell'!G17+'3. Remanufacture'!G17</f>
        <v>2200</v>
      </c>
      <c r="G11" s="231"/>
      <c r="H11" s="232" t="str">
        <f>IF(F11=0,"—",IF(D11=0,"↑ +"&amp;TEXT(F11,"#,##0")&amp;"",IF(F11&gt;D11,"↑ +"&amp;TEXT(F11-D11,"#,##0")&amp;"","↓ "&amp;TEXT(D11-F11,"#,##0")&amp;"")))</f>
        <v>↓ -2,200</v>
      </c>
      <c r="I11" s="232"/>
      <c r="J11" s="233" t="str">
        <f>IF(F11&gt;500,"🟢",IF(F11&gt;0,"🟡","🔴"))</f>
        <v>🟢</v>
      </c>
      <c r="K11" s="233"/>
      <c r="L11" s="234" t="s">
        <v>443</v>
      </c>
      <c r="M11" s="234"/>
      <c r="N11" s="234"/>
      <c r="O11" s="234"/>
      <c r="P11" s="234"/>
    </row>
    <row r="12" spans="1:16" ht="19.5" customHeight="1">
      <c r="B12" s="235" t="s">
        <v>444</v>
      </c>
      <c r="C12" s="235"/>
      <c r="D12" s="236" t="s">
        <v>442</v>
      </c>
      <c r="E12" s="236"/>
      <c r="F12" s="231">
        <f>'1. Repair_Maintain'!G17</f>
        <v>5500</v>
      </c>
      <c r="G12" s="231"/>
      <c r="H12" s="237" t="str">
        <f>IF(F12=0,"—",IF(D12=0,"↑ +"&amp;TEXT(F12,"#,##0")&amp;"",IF(F12&gt;D12,"↑ +"&amp;TEXT(F12-D12,"#,##0")&amp;"","↓ "&amp;TEXT(D12-F12,"#,##0")&amp;"")))</f>
        <v>↓ -5,500</v>
      </c>
      <c r="I12" s="237"/>
      <c r="J12" s="238" t="str">
        <f>IF(F12&gt;1000,"🟢",IF(F12&gt;0,"🟡","🔴"))</f>
        <v>🟢</v>
      </c>
      <c r="K12" s="238"/>
      <c r="L12" s="239" t="s">
        <v>445</v>
      </c>
      <c r="M12" s="239"/>
      <c r="N12" s="239"/>
      <c r="O12" s="239"/>
      <c r="P12" s="239"/>
    </row>
    <row r="13" spans="1:16" ht="19.5" customHeight="1">
      <c r="B13" s="229" t="s">
        <v>446</v>
      </c>
      <c r="C13" s="229"/>
      <c r="D13" s="230" t="s">
        <v>442</v>
      </c>
      <c r="E13" s="230"/>
      <c r="F13" s="231">
        <f>'4. FaaS_Subscription'!G17</f>
        <v>4000</v>
      </c>
      <c r="G13" s="231"/>
      <c r="H13" s="232" t="str">
        <f>IF(F13=0,"—",IF(D13=0,"↑ +"&amp;TEXT(F13,"#,##0")&amp;"",IF(F13&gt;D13,"↑ +"&amp;TEXT(F13-D13,"#,##0")&amp;"","↓ "&amp;TEXT(D13-F13,"#,##0")&amp;"")))</f>
        <v>↓ -4,000</v>
      </c>
      <c r="I13" s="232"/>
      <c r="J13" s="233" t="str">
        <f>IF(F13&gt;1000,"🟢",IF(F13&gt;0,"🟡","🔴"))</f>
        <v>🟢</v>
      </c>
      <c r="K13" s="233"/>
      <c r="L13" s="234" t="s">
        <v>447</v>
      </c>
      <c r="M13" s="234"/>
      <c r="N13" s="234"/>
      <c r="O13" s="234"/>
      <c r="P13" s="234"/>
    </row>
    <row r="14" spans="1:16" ht="19.5" customHeight="1">
      <c r="B14" s="235" t="s">
        <v>448</v>
      </c>
      <c r="C14" s="235"/>
      <c r="D14" s="240">
        <f>Current_Linear!C44</f>
        <v>7</v>
      </c>
      <c r="E14" s="240"/>
      <c r="F14" s="241">
        <f>Current_Linear!C44+$C$36</f>
        <v>10</v>
      </c>
      <c r="G14" s="241"/>
      <c r="H14" s="237" t="str">
        <f>IF($C$36&gt;0,"↑ +"&amp;TEXT($C$36,"0")&amp;" yrs","—")</f>
        <v>↑ +3 yrs</v>
      </c>
      <c r="I14" s="237"/>
      <c r="J14" s="238" t="str">
        <f>IF($C$36&gt;=3,"🟢",IF($C$36&gt;0,"🟡","⚪"))</f>
        <v>🟢</v>
      </c>
      <c r="K14" s="238"/>
      <c r="L14" s="239" t="s">
        <v>449</v>
      </c>
      <c r="M14" s="239"/>
      <c r="N14" s="239"/>
      <c r="O14" s="239"/>
      <c r="P14" s="239"/>
    </row>
    <row r="15" spans="1:16" ht="19.5" customHeight="1">
      <c r="B15" s="229" t="s">
        <v>450</v>
      </c>
      <c r="C15" s="229"/>
      <c r="D15" s="242" t="s">
        <v>451</v>
      </c>
      <c r="E15" s="242"/>
      <c r="F15" s="243">
        <f>('1. Repair_Maintain'!G5+'2. Resell'!G5+'3. Remanufacture'!G5+'4. FaaS_Subscription'!G5)/(Current_Linear!G5+'1. Repair_Maintain'!G5+'2. Resell'!G5+'3. Remanufacture'!G5+'4. FaaS_Subscription'!G5)</f>
        <v>9.2563462388623979E-2</v>
      </c>
      <c r="G15" s="243"/>
      <c r="H15" s="232" t="str">
        <f>IF(F15=0,"—",IF(D15=0,"↑ +"&amp;TEXT(F15*100,"0.0")&amp;" pp",IF(F15&gt;D15,"↑ +"&amp;TEXT((F15-D15)*100,"0.0")&amp;" pp","↓ "&amp;TEXT((D15-F15)*100,"0.0")&amp;" pp")))</f>
        <v>↓ -9.3 pp</v>
      </c>
      <c r="I15" s="232"/>
      <c r="J15" s="233" t="str">
        <f>IF(F15&gt;=0.15,"🟢",IF(F15&gt;0.05,"🟡","🔴"))</f>
        <v>🟡</v>
      </c>
      <c r="K15" s="233"/>
      <c r="L15" s="234" t="s">
        <v>452</v>
      </c>
      <c r="M15" s="234"/>
      <c r="N15" s="234"/>
      <c r="O15" s="234"/>
      <c r="P15" s="234"/>
    </row>
    <row r="16" spans="1:16" ht="19.5" customHeight="1">
      <c r="B16" s="235" t="s">
        <v>453</v>
      </c>
      <c r="C16" s="235"/>
      <c r="D16" s="236" t="s">
        <v>442</v>
      </c>
      <c r="E16" s="236"/>
      <c r="F16" s="231">
        <f>IF($C$37&gt;0,ROUND(('2. Resell'!G17+'3. Remanufacture'!G17)/$C$37,0),0)</f>
        <v>110</v>
      </c>
      <c r="G16" s="231"/>
      <c r="H16" s="237" t="str">
        <f>IF(F16=0,"—",IF(D16=0,"↑ +"&amp;TEXT(F16,"#,##0")&amp;"",IF(F16&gt;D16,"↑ +"&amp;TEXT(F16-D16,"#,##0")&amp;"","↓ "&amp;TEXT(D16-F16,"#,##0")&amp;"")))</f>
        <v>↓ -110</v>
      </c>
      <c r="I16" s="237"/>
      <c r="J16" s="238" t="str">
        <f>IF(F16&gt;=50,"🟢",IF(F16&gt;10,"🟡","🔴"))</f>
        <v>🟢</v>
      </c>
      <c r="K16" s="238"/>
      <c r="L16" s="239" t="s">
        <v>454</v>
      </c>
      <c r="M16" s="239"/>
      <c r="N16" s="239"/>
      <c r="O16" s="239"/>
      <c r="P16" s="239"/>
    </row>
    <row r="17" spans="2:16" ht="19.5" customHeight="1">
      <c r="B17" s="229" t="s">
        <v>455</v>
      </c>
      <c r="C17" s="229"/>
      <c r="D17" s="244">
        <f>Current_Linear!G7/Current_Linear!G5</f>
        <v>0.30831390831390831</v>
      </c>
      <c r="E17" s="244"/>
      <c r="F17" s="245">
        <f>('1. Repair_Maintain'!G7+'2. Resell'!G7+'3. Remanufacture'!G7+'4. FaaS_Subscription'!G7)/('1. Repair_Maintain'!G5+'2. Resell'!G5+'3. Remanufacture'!G5+'4. FaaS_Subscription'!G5)</f>
        <v>0.43106770972189423</v>
      </c>
      <c r="G17" s="245"/>
      <c r="H17" s="232" t="str">
        <f>IF(F17=0,"—",IF(D17=0,"↑ +"&amp;TEXT(F17*100,"0.0")&amp;" pp",IF(F17&gt;D17,"↑ +"&amp;TEXT((F17-D17)*100,"0.0")&amp;" pp","↓ "&amp;TEXT((D17-F17)*100,"0.0")&amp;" pp")))</f>
        <v>↑ +12.3 pp</v>
      </c>
      <c r="I17" s="232"/>
      <c r="J17" s="233" t="str">
        <f>IF(F17&gt;=D17,"🟢",IF(F17&gt;=D17-0.05,"🟡","🔴"))</f>
        <v>🟢</v>
      </c>
      <c r="K17" s="233"/>
      <c r="L17" s="234" t="s">
        <v>456</v>
      </c>
      <c r="M17" s="234"/>
      <c r="N17" s="234"/>
      <c r="O17" s="234"/>
      <c r="P17" s="234"/>
    </row>
    <row r="18" spans="2:16" ht="19.5" customHeight="1">
      <c r="B18" s="235" t="s">
        <v>457</v>
      </c>
      <c r="C18" s="235"/>
      <c r="D18" s="246" t="s">
        <v>451</v>
      </c>
      <c r="E18" s="246"/>
      <c r="F18" s="245">
        <f>'4. FaaS_Subscription'!C52</f>
        <v>0.23</v>
      </c>
      <c r="G18" s="245"/>
      <c r="H18" s="247" t="str">
        <f>IF(F18=0,"—",IF(D18=0,"↑ +"&amp;TEXT(F18*100,"0.0")&amp;" pp",IF(F18&gt;D18,"↑ +"&amp;TEXT((F18-D18)*100,"0.0")&amp;" pp","↓ "&amp;TEXT((D18-F18)*100,"0.0")&amp;" pp")))</f>
        <v>↓ -23.0 pp</v>
      </c>
      <c r="I18" s="247"/>
      <c r="J18" s="238" t="str">
        <f>IF(F18&gt;=0.5,"🟢",IF(F18&gt;=0.25,"🟡","🔴"))</f>
        <v>🔴</v>
      </c>
      <c r="K18" s="238"/>
      <c r="L18" s="239" t="s">
        <v>458</v>
      </c>
      <c r="M18" s="239"/>
      <c r="N18" s="239"/>
      <c r="O18" s="239"/>
      <c r="P18" s="239"/>
    </row>
    <row r="19" spans="2:16" ht="19.5" customHeight="1">
      <c r="B19" s="229" t="s">
        <v>459</v>
      </c>
      <c r="C19" s="229"/>
      <c r="D19" s="248" t="s">
        <v>460</v>
      </c>
      <c r="E19" s="248"/>
      <c r="F19" s="249">
        <f>'1. Repair_Maintain'!C51</f>
        <v>75</v>
      </c>
      <c r="G19" s="249"/>
      <c r="H19" s="232" t="str">
        <f>IF(F19&gt;0,TEXT(F19,"0")&amp;" / 100","—")</f>
        <v>75 / 100</v>
      </c>
      <c r="I19" s="232"/>
      <c r="J19" s="233" t="str">
        <f>IF(F19&gt;=65,"🟢",IF(F19&gt;=40,"🟡","🔴"))</f>
        <v>🟢</v>
      </c>
      <c r="K19" s="233"/>
      <c r="L19" s="234" t="s">
        <v>461</v>
      </c>
      <c r="M19" s="234"/>
      <c r="N19" s="234"/>
      <c r="O19" s="234"/>
      <c r="P19" s="234"/>
    </row>
    <row r="20" spans="2:16" ht="19.5" customHeight="1">
      <c r="B20" s="235" t="s">
        <v>462</v>
      </c>
      <c r="C20" s="235"/>
      <c r="D20" s="236" t="s">
        <v>442</v>
      </c>
      <c r="E20" s="236"/>
      <c r="F20" s="231">
        <f>ROUND(('2. Resell'!G17+'3. Remanufacture'!G17+'1. Repair_Maintain'!G17)*$C$38*0.0087,1)</f>
        <v>1339.8</v>
      </c>
      <c r="G20" s="231"/>
      <c r="H20" s="247" t="str">
        <f>IF(F20&gt;0,"↑ +"&amp;TEXT(F20,"#,##0.0")&amp;" t CO₂","—")</f>
        <v>↑ +1,339.8 t CO₂</v>
      </c>
      <c r="I20" s="247"/>
      <c r="J20" s="238" t="str">
        <f>IF(F20&gt;5,"🟢",IF(F20&gt;0,"🟡","⚪"))</f>
        <v>🟢</v>
      </c>
      <c r="K20" s="238"/>
      <c r="L20" s="239" t="s">
        <v>463</v>
      </c>
      <c r="M20" s="239"/>
      <c r="N20" s="239"/>
      <c r="O20" s="239"/>
      <c r="P20" s="239"/>
    </row>
    <row r="21" spans="2:16" ht="7.5" customHeight="1"/>
    <row r="22" spans="2:16" ht="15.75" customHeight="1">
      <c r="B22" s="212" t="s">
        <v>464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</row>
    <row r="23" spans="2:16" ht="27.75" customHeight="1">
      <c r="B23" s="250" t="s">
        <v>46</v>
      </c>
      <c r="C23" s="250"/>
      <c r="D23" s="250" t="s">
        <v>465</v>
      </c>
      <c r="E23" s="250"/>
      <c r="F23" s="250" t="s">
        <v>466</v>
      </c>
      <c r="G23" s="250"/>
      <c r="H23" s="250" t="s">
        <v>375</v>
      </c>
      <c r="I23" s="250"/>
      <c r="J23" s="250" t="s">
        <v>467</v>
      </c>
      <c r="K23" s="250"/>
      <c r="L23" s="250" t="s">
        <v>468</v>
      </c>
      <c r="M23" s="250"/>
      <c r="N23" s="250" t="s">
        <v>469</v>
      </c>
      <c r="O23" s="250"/>
      <c r="P23" s="250"/>
    </row>
    <row r="24" spans="2:16" ht="27.75" customHeight="1">
      <c r="B24" s="251" t="s">
        <v>470</v>
      </c>
      <c r="C24" s="251"/>
      <c r="D24" s="252">
        <f>'1. Repair_Maintain'!C51</f>
        <v>75</v>
      </c>
      <c r="E24" s="252"/>
      <c r="F24" s="253">
        <f>'1. Repair_Maintain'!G7/'1. Repair_Maintain'!G5</f>
        <v>8.717310087173101E-2</v>
      </c>
      <c r="G24" s="253"/>
      <c r="H24" s="254" t="str">
        <f>'1. Repair_Maintain'!C11</f>
        <v>&gt;5 years</v>
      </c>
      <c r="I24" s="254"/>
      <c r="J24" s="255" t="str">
        <f>IF(ABS('1. Repair_Maintain'!G70)&gt;=1000000,IF('1. Repair_Maintain'!G70&lt;0,"−","")&amp;"€"&amp;TEXT(ABS('1. Repair_Maintain'!G70)/1000000,"0.0")&amp;"M",IF(ABS('1. Repair_Maintain'!G70)&gt;=1000,IF('1. Repair_Maintain'!G70&lt;0,"−","")&amp;"€"&amp;TEXT(ABS('1. Repair_Maintain'!G70)/1000,"0")&amp;"k",IF('1. Repair_Maintain'!G70&lt;0,"−","")&amp;"€"&amp;TEXT(ABS('1. Repair_Maintain'!G70),"0")))&amp;" → "&amp;IF(ABS('1. Repair_Maintain'!G72)&gt;=1000000,IF('1. Repair_Maintain'!G72&lt;0,"−","")&amp;"€"&amp;TEXT(ABS('1. Repair_Maintain'!G72)/1000000,"0.0")&amp;"M",IF(ABS('1. Repair_Maintain'!G72)&gt;=1000,IF('1. Repair_Maintain'!G72&lt;0,"−","")&amp;"€"&amp;TEXT(ABS('1. Repair_Maintain'!G72)/1000,"0")&amp;"k",IF('1. Repair_Maintain'!G72&lt;0,"−","")&amp;"€"&amp;TEXT(ABS('1. Repair_Maintain'!G72),"0")))</f>
        <v>−€267k → €222k</v>
      </c>
      <c r="K24" s="255"/>
      <c r="L24" s="256" t="str">
        <f>IF('1. Repair_Maintain'!C8&gt;100000,"High Year 1 capex ("&amp;IF(ABS('1. Repair_Maintain'!C8)&gt;=1000000,TEXT('1. Repair_Maintain'!C8/1000000,"€0.0M"),TEXT('1. Repair_Maintain'!C8/1000,"€0k"))&amp;"). ","")&amp;IF('1. Repair_Maintain'!C51&lt;40,"Low feasibility — projections need validation. ","")&amp;IF('1. Repair_Maintain'!C51&gt;=65,"High feasibility — market conditions favourable. ","")&amp;IF('1. Repair_Maintain'!C11="&gt;5 years","No 5-year breakeven — build gradually. ","")&amp;IF('1. Repair_Maintain'!C11="Year 1","Fastest payback in the portfolio. ","")</f>
        <v xml:space="preserve">High feasibility — market conditions favourable. No 5-year breakeven — build gradually. </v>
      </c>
      <c r="M24" s="256"/>
      <c r="N24" s="251" t="str">
        <f>IF(AND('1. Repair_Maintain'!C51&gt;=65,'1. Repair_Maintain'!C11&lt;&gt;"&gt;5 years"),"✅ Lead — high feasibility and clear payback horizon.",IF(AND('1. Repair_Maintain'!C51&gt;=40,'1. Repair_Maintain'!C11&lt;&gt;"&gt;5 years"),"✅ Build — solid foundations; monitor margins as volume scales.",IF('1. Repair_Maintain'!C51&gt;=40,"⚠️ Build gradually — feasibility is medium; payback beyond 5 years.","🔴 Validate first — low feasibility score; test assumptions with a pilot.")))</f>
        <v>⚠️ Build gradually — feasibility is medium; payback beyond 5 years.</v>
      </c>
      <c r="O24" s="251"/>
      <c r="P24" s="251"/>
    </row>
    <row r="25" spans="2:16" ht="27.75" customHeight="1">
      <c r="B25" s="257" t="s">
        <v>471</v>
      </c>
      <c r="C25" s="257"/>
      <c r="D25" s="258">
        <f>'2. Resell'!C45</f>
        <v>42</v>
      </c>
      <c r="E25" s="258"/>
      <c r="F25" s="259">
        <f>'2. Resell'!G7/'2. Resell'!G5</f>
        <v>0.79754086217964548</v>
      </c>
      <c r="G25" s="259"/>
      <c r="H25" s="260" t="str">
        <f>'2. Resell'!C11</f>
        <v>Year 2</v>
      </c>
      <c r="I25" s="260"/>
      <c r="J25" s="261" t="str">
        <f>IF(ABS('2. Resell'!G64)&gt;=1000000,IF('2. Resell'!G64&lt;0,"−","")&amp;"€"&amp;TEXT(ABS('2. Resell'!G64)/1000000,"0.0")&amp;"M",IF(ABS('2. Resell'!G64)&gt;=1000,IF('2. Resell'!G64&lt;0,"−","")&amp;"€"&amp;TEXT(ABS('2. Resell'!G64)/1000,"0")&amp;"k",IF('2. Resell'!G64&lt;0,"−","")&amp;"€"&amp;TEXT(ABS('2. Resell'!G64),"0")))&amp;" → "&amp;IF(ABS('2. Resell'!G66)&gt;=1000000,IF('2. Resell'!G66&lt;0,"−","")&amp;"€"&amp;TEXT(ABS('2. Resell'!G66)/1000000,"0.0")&amp;"M",IF(ABS('2. Resell'!G66)&gt;=1000,IF('2. Resell'!G66&lt;0,"−","")&amp;"€"&amp;TEXT(ABS('2. Resell'!G66)/1000,"0")&amp;"k",IF('2. Resell'!G66&lt;0,"−","")&amp;"€"&amp;TEXT(ABS('2. Resell'!G66),"0")))</f>
        <v>€175k → €616k</v>
      </c>
      <c r="K25" s="261"/>
      <c r="L25" s="262" t="str">
        <f>IF('2. Resell'!C8&gt;100000,"High Year 1 capex ("&amp;IF(ABS('2. Resell'!C8)&gt;=1000000,TEXT('2. Resell'!C8/1000000,"€0.0M"),TEXT('2. Resell'!C8/1000,"€0k"))&amp;"). ","")&amp;IF('2. Resell'!C45&lt;40,"Low feasibility — projections need validation. ","")&amp;IF('2. Resell'!C45&gt;=65,"High feasibility — market conditions favourable. ","")&amp;IF('2. Resell'!C11="&gt;5 years","No 5-year breakeven — build gradually. ","")&amp;IF('2. Resell'!C11="Year 1","Fastest payback in the portfolio. ","")</f>
        <v/>
      </c>
      <c r="M25" s="262"/>
      <c r="N25" s="257" t="str">
        <f>IF(AND('2. Resell'!C45&gt;=65,'2. Resell'!C11&lt;&gt;"&gt;5 years"),"✅ Lead — high feasibility and clear payback horizon.",IF(AND('2. Resell'!C45&gt;=40,'2. Resell'!C11&lt;&gt;"&gt;5 years"),"✅ Build — solid foundations; monitor margins as volume scales.",IF('2. Resell'!C45&gt;=40,"⚠️ Build gradually — feasibility is medium; payback beyond 5 years.","🔴 Validate first — low feasibility score; test assumptions with a pilot.")))</f>
        <v>✅ Build — solid foundations; monitor margins as volume scales.</v>
      </c>
      <c r="O25" s="257"/>
      <c r="P25" s="257"/>
    </row>
    <row r="26" spans="2:16" ht="27.75" customHeight="1">
      <c r="B26" s="263" t="s">
        <v>472</v>
      </c>
      <c r="C26" s="263"/>
      <c r="D26" s="264">
        <f>'3. Remanufacture'!C50</f>
        <v>54</v>
      </c>
      <c r="E26" s="264"/>
      <c r="F26" s="265">
        <f>'3. Remanufacture'!G7/'3. Remanufacture'!G5</f>
        <v>0.35355029585798814</v>
      </c>
      <c r="G26" s="265"/>
      <c r="H26" s="266" t="str">
        <f>'3. Remanufacture'!C11</f>
        <v>Year 4</v>
      </c>
      <c r="I26" s="266"/>
      <c r="J26" s="267" t="str">
        <f>IF(ABS('3. Remanufacture'!G69)&gt;=1000000,IF('3. Remanufacture'!G69&lt;0,"−","")&amp;"€"&amp;TEXT(ABS('3. Remanufacture'!G69)/1000000,"0.0")&amp;"M",IF(ABS('3. Remanufacture'!G69)&gt;=1000,IF('3. Remanufacture'!G69&lt;0,"−","")&amp;"€"&amp;TEXT(ABS('3. Remanufacture'!G69)/1000,"0")&amp;"k",IF('3. Remanufacture'!G69&lt;0,"−","")&amp;"€"&amp;TEXT(ABS('3. Remanufacture'!G69),"0")))&amp;" → "&amp;IF(ABS('3. Remanufacture'!G71)&gt;=1000000,IF('3. Remanufacture'!G71&lt;0,"−","")&amp;"€"&amp;TEXT(ABS('3. Remanufacture'!G71)/1000000,"0.0")&amp;"M",IF(ABS('3. Remanufacture'!G71)&gt;=1000,IF('3. Remanufacture'!G71&lt;0,"−","")&amp;"€"&amp;TEXT(ABS('3. Remanufacture'!G71)/1000,"0")&amp;"k",IF('3. Remanufacture'!G71&lt;0,"−","")&amp;"€"&amp;TEXT(ABS('3. Remanufacture'!G71),"0")))</f>
        <v>−€106k → €269k</v>
      </c>
      <c r="K26" s="267"/>
      <c r="L26" s="268" t="str">
        <f>IF('3. Remanufacture'!C8&gt;100000,"High Year 1 capex ("&amp;IF(ABS('3. Remanufacture'!C8)&gt;=1000000,TEXT('3. Remanufacture'!C8/1000000,"€0.0M"),TEXT('3. Remanufacture'!C8/1000,"€0k"))&amp;"). ","")&amp;IF('3. Remanufacture'!C50&lt;40,"Low feasibility — projections need validation. ","")&amp;IF('3. Remanufacture'!C50&gt;=65,"High feasibility — market conditions favourable. ","")&amp;IF('3. Remanufacture'!C11="&gt;5 years","No 5-year breakeven — build gradually. ","")&amp;IF('3. Remanufacture'!C11="Year 1","Fastest payback in the portfolio. ","")</f>
        <v/>
      </c>
      <c r="M26" s="268"/>
      <c r="N26" s="263" t="str">
        <f>IF(AND('3. Remanufacture'!C50&gt;=65,'3. Remanufacture'!C11&lt;&gt;"&gt;5 years"),"✅ Lead — high feasibility and clear payback horizon.",IF(AND('3. Remanufacture'!C50&gt;=40,'3. Remanufacture'!C11&lt;&gt;"&gt;5 years"),"✅ Build — solid foundations; monitor margins as volume scales.",IF('3. Remanufacture'!C50&gt;=40,"⚠️ Build gradually — feasibility is medium; payback beyond 5 years.","🔴 Validate first — low feasibility score; test assumptions with a pilot.")))</f>
        <v>✅ Build — solid foundations; monitor margins as volume scales.</v>
      </c>
      <c r="O26" s="263"/>
      <c r="P26" s="263"/>
    </row>
    <row r="27" spans="2:16" ht="27.75" customHeight="1">
      <c r="B27" s="274" t="s">
        <v>473</v>
      </c>
      <c r="C27" s="274"/>
      <c r="D27" s="275">
        <f>'4. FaaS_Subscription'!C58</f>
        <v>51</v>
      </c>
      <c r="E27" s="275"/>
      <c r="F27" s="276">
        <f>'4. FaaS_Subscription'!G7/'4. FaaS_Subscription'!G5</f>
        <v>0.58833992094861665</v>
      </c>
      <c r="G27" s="276"/>
      <c r="H27" s="277" t="str">
        <f>'4. FaaS_Subscription'!C11</f>
        <v>&gt;5 years</v>
      </c>
      <c r="I27" s="277"/>
      <c r="J27" s="278" t="str">
        <f>IF(ABS('4. FaaS_Subscription'!G77)&gt;=1000000,IF('4. FaaS_Subscription'!G77&lt;0,"−","")&amp;"€"&amp;TEXT(ABS('4. FaaS_Subscription'!G77)/1000000,"0.0")&amp;"M",IF(ABS('4. FaaS_Subscription'!G77)&gt;=1000,IF('4. FaaS_Subscription'!G77&lt;0,"−","")&amp;"€"&amp;TEXT(ABS('4. FaaS_Subscription'!G77)/1000,"0")&amp;"k",IF('4. FaaS_Subscription'!G77&lt;0,"−","")&amp;"€"&amp;TEXT(ABS('4. FaaS_Subscription'!G77),"0")))&amp;" → "&amp;IF(ABS('4. FaaS_Subscription'!G79)&gt;=1000000,IF('4. FaaS_Subscription'!G79&lt;0,"−","")&amp;"€"&amp;TEXT(ABS('4. FaaS_Subscription'!G79)/1000000,"0.0")&amp;"M",IF(ABS('4. FaaS_Subscription'!G79)&gt;=1000,IF('4. FaaS_Subscription'!G79&lt;0,"−","")&amp;"€"&amp;TEXT(ABS('4. FaaS_Subscription'!G79)/1000,"0")&amp;"k",IF('4. FaaS_Subscription'!G79&lt;0,"−","")&amp;"€"&amp;TEXT(ABS('4. FaaS_Subscription'!G79),"0")))</f>
        <v>−€1.0M → €6k</v>
      </c>
      <c r="K27" s="278"/>
      <c r="L27" s="279" t="str">
        <f>IF('4. FaaS_Subscription'!C52&lt;0.3,"⚠ Low customer commitment ("&amp;TEXT('4. FaaS_Subscription'!C52,"0%")&amp;") — validate before scaling. ","")&amp;IF('4. FaaS_Subscription'!C8&gt;100000,"High Year 1 capex ("&amp;IF(ABS('4. FaaS_Subscription'!C8)&gt;=1000000,TEXT('4. FaaS_Subscription'!C8/1000000,"€0.0M"),TEXT('4. FaaS_Subscription'!C8/1000,"€0k"))&amp;"). ","")&amp;IF('4. FaaS_Subscription'!C58&lt;40,"Low feasibility score — projections are aspirational. ","")&amp;IF('4. FaaS_Subscription'!C11="&gt;5 years","No 5-year breakeven — long-horizon model. ","")</f>
        <v xml:space="preserve">⚠ Low customer commitment (23%) — validate before scaling. High Year 1 capex (€268k). No 5-year breakeven — long-horizon model. </v>
      </c>
      <c r="M27" s="279"/>
      <c r="N27" s="274" t="str">
        <f>IF(AND('4. FaaS_Subscription'!C58&gt;=65,'4. FaaS_Subscription'!C52&gt;=0.4),"✅ Scale — strong feasibility and customer acceptance.",IF('4. FaaS_Subscription'!C52&gt;=0.3,"⚠️ Pilot with 1 anchor client — validate loop economics before scaling.","🔴 Delay — customer acceptance below 30%. Invest in market education first."))</f>
        <v>🔴 Delay — customer acceptance below 30%. Invest in market education first.</v>
      </c>
      <c r="O27" s="274"/>
      <c r="P27" s="274"/>
    </row>
    <row r="28" spans="2:16" ht="7.5" customHeight="1"/>
    <row r="29" spans="2:16" ht="15.75" customHeight="1">
      <c r="B29" s="212" t="s">
        <v>474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</row>
    <row r="30" spans="2:16" ht="19.5" customHeight="1">
      <c r="B30" s="280" t="s">
        <v>475</v>
      </c>
      <c r="C30" s="280"/>
      <c r="D30" s="280"/>
      <c r="E30" s="280"/>
      <c r="F30" s="281" t="s">
        <v>476</v>
      </c>
      <c r="G30" s="281"/>
      <c r="H30" s="281"/>
      <c r="I30" s="281"/>
      <c r="J30" s="282" t="s">
        <v>477</v>
      </c>
      <c r="K30" s="282"/>
      <c r="L30" s="282"/>
      <c r="M30" s="282"/>
      <c r="N30" s="283" t="s">
        <v>478</v>
      </c>
      <c r="O30" s="283"/>
      <c r="P30" s="283"/>
    </row>
    <row r="31" spans="2:16" ht="18" customHeight="1">
      <c r="B31" s="269" t="str">
        <f>"Your circular portfolio generates €"&amp;IF(('1. Repair_Maintain'!G5+'2. Resell'!G5+'3. Remanufacture'!G5+'4. FaaS_Subscription'!G5)&gt;=1000000,TEXT(('1. Repair_Maintain'!G5+'2. Resell'!G5+'3. Remanufacture'!G5+'4. FaaS_Subscription'!G5)/1000000,"0.0")&amp;"M",TEXT(('1. Repair_Maintain'!G5+'2. Resell'!G5+'3. Remanufacture'!G5+'4. FaaS_Subscription'!G5)/1000,"0")&amp;"k")&amp;" in combined revenue by Year 5, at a blended EBITDA margin of "&amp;TEXT(IF(('1. Repair_Maintain'!G5+'2. Resell'!G5+'3. Remanufacture'!G5+'4. FaaS_Subscription'!G5)&gt;0,('1. Repair_Maintain'!G7+'2. Resell'!G7+'3. Remanufacture'!G7+'4. FaaS_Subscription'!G7)/('1. Repair_Maintain'!G5+'2. Resell'!G5+'3. Remanufacture'!G5+'4. FaaS_Subscription'!G5),0),"0%")&amp;" — compared to "&amp;TEXT(Current_Linear!G7/Current_Linear!G5,"0%")&amp;" for the linear model. "&amp;IF(('1. Repair_Maintain'!G7+'2. Resell'!G7+'3. Remanufacture'!G7+'4. FaaS_Subscription'!G7)/('1. Repair_Maintain'!G5+'2. Resell'!G5+'3. Remanufacture'!G5+'4. FaaS_Subscription'!G5)&gt;Current_Linear!G7/Current_Linear!G5,"Circular models are structurally more profitable at unit level, not just additive volume.","Circular margin is currently below the linear baseline — volume scale is the key lever.")</f>
        <v>Your circular portfolio generates €1.3M in combined revenue by Year 5, at a blended EBITDA margin of 43% — compared to 31% for the linear model. Circular models are structurally more profitable at unit level, not just additive volume.</v>
      </c>
      <c r="C31" s="269"/>
      <c r="D31" s="269"/>
      <c r="E31" s="269"/>
      <c r="F31" s="270" t="str">
        <f>IF(MAX(IF('1.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FaaS_Subscription'!G5,0))=0,"No circular models filled yet.","The highest-margin model is "&amp;IF(MAX(IF('1.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FaaS_Subscription'!G5,0))='1. Repair_Maintain'!G7/'1. Repair_Maintain'!G5,"Repair",IF(MAX(IF('1.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FaaS_Subscription'!G5,0))='2. Resell'!G7/'2. Resell'!G5,"Resell",IF(MAX(IF('1.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FaaS_Subscription'!G5,0))='3. Remanufacture'!G7/'3. Remanufacture'!G5,"Remanufacture","PaaS")))&amp;" at "&amp;TEXT(MAX(IF('1. Repair_Maintain'!G5&gt;0,'1. Repair_Maintain'!G7/'1. Repair_Maintain'!G5,0),IF('2. Resell'!G5&gt;0,'2. Resell'!G7/'2. Resell'!G5,0),IF('3. Remanufacture'!G5&gt;0,'3. Remanufacture'!G7/'3. Remanufacture'!G5,0),IF('4. FaaS_Subscription'!G5&gt;0,'4. FaaS_Subscription'!G7/'4. FaaS_Subscription'!G5,0)),"0%")&amp;" EBITDA margin (Year 5). Lead with this model — its margins and payback make it the natural entry point for the circular portfolio.")</f>
        <v>The highest-margin model is Resell at 80% EBITDA margin (Year 5). Lead with this model — its margins and payback make it the natural entry point for the circular portfolio.</v>
      </c>
      <c r="G31" s="270"/>
      <c r="H31" s="270"/>
      <c r="I31" s="270"/>
      <c r="J31" s="271" t="str">
        <f>IF('4. FaaS_Subscription'!G5&gt;0,"PaaS reaches "&amp;TEXT('4. FaaS_Subscription'!G7/'4. FaaS_Subscription'!G5,"0%")&amp;" EBITDA margin (Y5) on €"&amp;IF('4. FaaS_Subscription'!C8&gt;=1000000,TEXT('4. FaaS_Subscription'!C8/1000000,"0.0")&amp;"M",TEXT('4. FaaS_Subscription'!C8/1000,"0")&amp;"k")&amp;" Year 1 asset investment. Breakeven: "&amp;'4. FaaS_Subscription'!C11&amp;". PaaS creates the strongest long-term asset position and residual-value capture, but requires anchor clients and patient capital.","PaaS model not yet activated — enter inputs on the FaaS sheet to see the long-game projection.")</f>
        <v>PaaS reaches 59% EBITDA margin (Y5) on €268k Year 1 asset investment. Breakeven: &gt;5 years. PaaS creates the strongest long-term asset position and residual-value capture, but requires anchor clients and patient capital.</v>
      </c>
      <c r="K31" s="271"/>
      <c r="L31" s="271"/>
      <c r="M31" s="271"/>
      <c r="N31" s="272" t="str">
        <f>_xlfn._LONGTEXT("The business case for circular is not only financial. Regulatory requirements (EU Ecodesign, ESPR, corporate sustainability reporting) are tightening across the furniture sector. A circular portfolio builds supplier credentials, opens new tenders, and red","uces exposure to material cost volatility. The question is not whether to act — it is which model to lead with.")</f>
        <v>The business case for circular is not only financial. Regulatory requirements (EU Ecodesign, ESPR, corporate sustainability reporting) are tightening across the furniture sector. A circular portfolio builds supplier credentials, opens new tenders, and reduces exposure to material cost volatility. The question is not whether to act — it is which model to lead with.</v>
      </c>
      <c r="O31" s="272"/>
      <c r="P31" s="272"/>
    </row>
    <row r="32" spans="2:16" ht="18" customHeight="1">
      <c r="B32" s="269"/>
      <c r="C32" s="269"/>
      <c r="D32" s="269"/>
      <c r="E32" s="269"/>
      <c r="F32" s="273"/>
      <c r="G32" s="273"/>
      <c r="H32" s="273"/>
      <c r="I32" s="273"/>
      <c r="J32" s="271"/>
      <c r="K32" s="271"/>
      <c r="L32" s="271"/>
      <c r="M32" s="271"/>
      <c r="N32" s="272"/>
      <c r="O32" s="272"/>
      <c r="P32" s="272"/>
    </row>
    <row r="33" spans="2:16" ht="18" customHeight="1">
      <c r="B33" s="269"/>
      <c r="C33" s="269"/>
      <c r="D33" s="269"/>
      <c r="E33" s="269"/>
      <c r="F33" s="273"/>
      <c r="G33" s="273"/>
      <c r="H33" s="273"/>
      <c r="I33" s="273"/>
      <c r="J33" s="271"/>
      <c r="K33" s="271"/>
      <c r="L33" s="271"/>
      <c r="M33" s="271"/>
      <c r="N33" s="272"/>
      <c r="O33" s="272"/>
      <c r="P33" s="272"/>
    </row>
    <row r="35" spans="2:16" ht="15" customHeight="1">
      <c r="B35" s="3" t="s">
        <v>479</v>
      </c>
      <c r="C35" s="4">
        <v>3</v>
      </c>
      <c r="D35" s="5" t="s">
        <v>480</v>
      </c>
    </row>
    <row r="36" spans="2:16" ht="7.5" customHeight="1">
      <c r="B36" s="6" t="s">
        <v>481</v>
      </c>
      <c r="C36" s="4">
        <v>3</v>
      </c>
      <c r="D36" s="5" t="s">
        <v>482</v>
      </c>
    </row>
    <row r="37" spans="2:16" ht="15" customHeight="1">
      <c r="B37" s="6" t="s">
        <v>483</v>
      </c>
      <c r="C37" s="4">
        <v>20</v>
      </c>
      <c r="D37" s="5" t="s">
        <v>484</v>
      </c>
    </row>
    <row r="38" spans="2:16" ht="15" customHeight="1">
      <c r="B38" s="6" t="s">
        <v>485</v>
      </c>
      <c r="C38" s="4">
        <v>20</v>
      </c>
      <c r="D38" s="5" t="s">
        <v>486</v>
      </c>
      <c r="E38" t="s">
        <v>74</v>
      </c>
      <c r="F38" t="s">
        <v>75</v>
      </c>
      <c r="G38" t="s">
        <v>76</v>
      </c>
    </row>
    <row r="39" spans="2:16" ht="15" customHeight="1">
      <c r="B39" t="s">
        <v>487</v>
      </c>
      <c r="C39" s="7">
        <f>'1. Repair_Maintain'!C5</f>
        <v>36500</v>
      </c>
      <c r="D39" s="7">
        <f>'1. Repair_Maintain'!D5</f>
        <v>87600</v>
      </c>
      <c r="E39" s="7">
        <f>'1. Repair_Maintain'!E5</f>
        <v>160600</v>
      </c>
      <c r="F39" s="7">
        <f>'1. Repair_Maintain'!F5</f>
        <v>292000</v>
      </c>
      <c r="G39" s="7">
        <f>'1. Repair_Maintain'!G5</f>
        <v>401500</v>
      </c>
    </row>
    <row r="40" spans="2:16" ht="15" customHeight="1">
      <c r="B40" t="s">
        <v>58</v>
      </c>
      <c r="C40" s="7">
        <f>'2. Resell'!C5</f>
        <v>22510</v>
      </c>
      <c r="D40" s="7">
        <f>'2. Resell'!D5</f>
        <v>56260</v>
      </c>
      <c r="E40" s="7">
        <f>'2. Resell'!E5</f>
        <v>101260</v>
      </c>
      <c r="F40" s="7">
        <f>'2. Resell'!F5</f>
        <v>168760</v>
      </c>
      <c r="G40" s="7">
        <f>'2. Resell'!G5</f>
        <v>202510</v>
      </c>
    </row>
    <row r="41" spans="2:16" ht="15" customHeight="1">
      <c r="B41" t="s">
        <v>62</v>
      </c>
      <c r="C41" s="7">
        <f>'3. Remanufacture'!C5</f>
        <v>9360</v>
      </c>
      <c r="D41" s="7">
        <f>'3. Remanufacture'!D5</f>
        <v>31200</v>
      </c>
      <c r="E41" s="7">
        <f>'3. Remanufacture'!E5</f>
        <v>70200</v>
      </c>
      <c r="F41" s="7">
        <f>'3. Remanufacture'!F5</f>
        <v>156000</v>
      </c>
      <c r="G41" s="7">
        <f>'3. Remanufacture'!G5</f>
        <v>202800</v>
      </c>
    </row>
    <row r="42" spans="2:16" ht="15" customHeight="1">
      <c r="B42" t="s">
        <v>488</v>
      </c>
      <c r="C42" s="8">
        <f>'4. FaaS_Subscription'!C5</f>
        <v>59200</v>
      </c>
      <c r="D42" s="8">
        <f>'4. FaaS_Subscription'!D5</f>
        <v>106200</v>
      </c>
      <c r="E42" s="8">
        <f>'4. FaaS_Subscription'!E5</f>
        <v>206000</v>
      </c>
      <c r="F42" s="8">
        <f>'4. FaaS_Subscription'!F5</f>
        <v>417000</v>
      </c>
      <c r="G42" s="8">
        <f>'4. FaaS_Subscription'!G5</f>
        <v>506000</v>
      </c>
    </row>
    <row r="44" spans="2:16" ht="15" customHeight="1">
      <c r="C44" t="s">
        <v>72</v>
      </c>
      <c r="D44" t="s">
        <v>73</v>
      </c>
      <c r="E44" t="s">
        <v>74</v>
      </c>
      <c r="F44" t="s">
        <v>75</v>
      </c>
      <c r="G44" t="s">
        <v>76</v>
      </c>
    </row>
    <row r="45" spans="2:16" ht="15" customHeight="1">
      <c r="B45" t="s">
        <v>487</v>
      </c>
      <c r="C45" s="9">
        <f>IF('1. Repair_Maintain'!C5=0,0,'1. Repair_Maintain'!C7/'1. Repair_Maintain'!C5)</f>
        <v>-0.21917808219178081</v>
      </c>
      <c r="D45" s="9">
        <f>IF('1. Repair_Maintain'!D5=0,0,'1. Repair_Maintain'!D7/'1. Repair_Maintain'!D5)</f>
        <v>-0.12557077625570776</v>
      </c>
      <c r="E45" s="9">
        <f>IF('1. Repair_Maintain'!E5=0,0,'1. Repair_Maintain'!E7/'1. Repair_Maintain'!E5)</f>
        <v>-4.0473225404732256E-2</v>
      </c>
      <c r="F45" s="9">
        <f>IF('1. Repair_Maintain'!F5=0,0,'1. Repair_Maintain'!F7/'1. Repair_Maintain'!F5)</f>
        <v>6.1643835616438353E-2</v>
      </c>
      <c r="G45" s="9">
        <f>IF('1. Repair_Maintain'!G5=0,0,'1. Repair_Maintain'!G7/'1. Repair_Maintain'!G5)</f>
        <v>8.717310087173101E-2</v>
      </c>
    </row>
    <row r="46" spans="2:16" ht="15" customHeight="1">
      <c r="B46" t="s">
        <v>58</v>
      </c>
      <c r="C46" s="9">
        <f>IF('2. Resell'!C5=0,0,'2. Resell'!C7/'2. Resell'!C5)</f>
        <v>0.60017769880053307</v>
      </c>
      <c r="D46" s="9">
        <f>IF('2. Resell'!D5=0,0,'2. Resell'!D7/'2. Resell'!D5)</f>
        <v>0.73338073231425527</v>
      </c>
      <c r="E46" s="9">
        <f>IF('2. Resell'!E5=0,0,'2. Resell'!E7/'2. Resell'!E5)</f>
        <v>0.77286193956152482</v>
      </c>
      <c r="F46" s="9">
        <f>IF('2. Resell'!F5=0,0,'2. Resell'!F7/'2. Resell'!F5)</f>
        <v>0.79260488267361939</v>
      </c>
      <c r="G46" s="9">
        <f>IF('2. Resell'!G5=0,0,'2. Resell'!G7/'2. Resell'!G5)</f>
        <v>0.79754086217964548</v>
      </c>
    </row>
    <row r="47" spans="2:16" ht="15" customHeight="1">
      <c r="B47" t="s">
        <v>62</v>
      </c>
      <c r="C47" s="9">
        <f>IF('3. Remanufacture'!C5=0,0,'3. Remanufacture'!C7/'3. Remanufacture'!C5)</f>
        <v>-0.15598290598290598</v>
      </c>
      <c r="D47" s="9">
        <f>IF('3. Remanufacture'!D5=0,0,'3. Remanufacture'!D7/'3. Remanufacture'!D5)</f>
        <v>0.21794871794871795</v>
      </c>
      <c r="E47" s="9">
        <f>IF('3. Remanufacture'!E5=0,0,'3. Remanufacture'!E7/'3. Remanufacture'!E5)</f>
        <v>0.30698005698005698</v>
      </c>
      <c r="F47" s="9">
        <f>IF('3. Remanufacture'!F5=0,0,'3. Remanufacture'!F7/'3. Remanufacture'!F5)</f>
        <v>0.34615384615384615</v>
      </c>
      <c r="G47" s="9">
        <f>IF('3. Remanufacture'!G5=0,0,'3. Remanufacture'!G7/'3. Remanufacture'!G5)</f>
        <v>0.35355029585798814</v>
      </c>
    </row>
    <row r="48" spans="2:16" ht="15" customHeight="1">
      <c r="B48" t="s">
        <v>488</v>
      </c>
      <c r="C48" s="9">
        <f>IF('4. FaaS_Subscription'!C5=0,0,'4. FaaS_Subscription'!C7/'4. FaaS_Subscription'!C5)</f>
        <v>0.73141891891891897</v>
      </c>
      <c r="D48" s="9">
        <f>IF('4. FaaS_Subscription'!D5=0,0,'4. FaaS_Subscription'!D7/'4. FaaS_Subscription'!D5)</f>
        <v>0.60075329566854996</v>
      </c>
      <c r="E48" s="9">
        <f>IF('4. FaaS_Subscription'!E5=0,0,'4. FaaS_Subscription'!E7/'4. FaaS_Subscription'!E5)</f>
        <v>0.61407766990291257</v>
      </c>
      <c r="F48" s="9">
        <f>IF('4. FaaS_Subscription'!F5=0,0,'4. FaaS_Subscription'!F7/'4. FaaS_Subscription'!F5)</f>
        <v>0.61870503597122306</v>
      </c>
      <c r="G48" s="9">
        <f>IF('4. FaaS_Subscription'!G5=0,0,'4. FaaS_Subscription'!G7/'4. FaaS_Subscription'!G5)</f>
        <v>0.58833992094861665</v>
      </c>
    </row>
  </sheetData>
  <mergeCells count="132">
    <mergeCell ref="B31:E33"/>
    <mergeCell ref="F31:I31"/>
    <mergeCell ref="J31:M33"/>
    <mergeCell ref="N31:P33"/>
    <mergeCell ref="F32:I32"/>
    <mergeCell ref="F33:I33"/>
    <mergeCell ref="B27:C27"/>
    <mergeCell ref="D27:E27"/>
    <mergeCell ref="F27:G27"/>
    <mergeCell ref="H27:I27"/>
    <mergeCell ref="J27:K27"/>
    <mergeCell ref="L27:M27"/>
    <mergeCell ref="N27:P27"/>
    <mergeCell ref="B29:P29"/>
    <mergeCell ref="B30:E30"/>
    <mergeCell ref="F30:I30"/>
    <mergeCell ref="J30:M30"/>
    <mergeCell ref="N30:P30"/>
    <mergeCell ref="B25:C25"/>
    <mergeCell ref="D25:E25"/>
    <mergeCell ref="F25:G25"/>
    <mergeCell ref="H25:I25"/>
    <mergeCell ref="J25:K25"/>
    <mergeCell ref="L25:M25"/>
    <mergeCell ref="N25:P25"/>
    <mergeCell ref="B26:C26"/>
    <mergeCell ref="D26:E26"/>
    <mergeCell ref="F26:G26"/>
    <mergeCell ref="H26:I26"/>
    <mergeCell ref="J26:K26"/>
    <mergeCell ref="L26:M26"/>
    <mergeCell ref="N26:P26"/>
    <mergeCell ref="B22:P22"/>
    <mergeCell ref="B23:C23"/>
    <mergeCell ref="D23:E23"/>
    <mergeCell ref="F23:G23"/>
    <mergeCell ref="H23:I23"/>
    <mergeCell ref="J23:K23"/>
    <mergeCell ref="L23:M23"/>
    <mergeCell ref="N23:P23"/>
    <mergeCell ref="B24:C24"/>
    <mergeCell ref="D24:E24"/>
    <mergeCell ref="F24:G24"/>
    <mergeCell ref="H24:I24"/>
    <mergeCell ref="J24:K24"/>
    <mergeCell ref="L24:M24"/>
    <mergeCell ref="N24:P24"/>
    <mergeCell ref="B19:C19"/>
    <mergeCell ref="D19:E19"/>
    <mergeCell ref="F19:G19"/>
    <mergeCell ref="H19:I19"/>
    <mergeCell ref="J19:K19"/>
    <mergeCell ref="L19:P19"/>
    <mergeCell ref="B20:C20"/>
    <mergeCell ref="D20:E20"/>
    <mergeCell ref="F20:G20"/>
    <mergeCell ref="H20:I20"/>
    <mergeCell ref="J20:K20"/>
    <mergeCell ref="L20:P20"/>
    <mergeCell ref="B17:C17"/>
    <mergeCell ref="D17:E17"/>
    <mergeCell ref="F17:G17"/>
    <mergeCell ref="H17:I17"/>
    <mergeCell ref="J17:K17"/>
    <mergeCell ref="L17:P17"/>
    <mergeCell ref="B18:C18"/>
    <mergeCell ref="D18:E18"/>
    <mergeCell ref="F18:G18"/>
    <mergeCell ref="H18:I18"/>
    <mergeCell ref="J18:K18"/>
    <mergeCell ref="L18:P18"/>
    <mergeCell ref="B15:C15"/>
    <mergeCell ref="D15:E15"/>
    <mergeCell ref="F15:G15"/>
    <mergeCell ref="H15:I15"/>
    <mergeCell ref="J15:K15"/>
    <mergeCell ref="L15:P15"/>
    <mergeCell ref="B16:C16"/>
    <mergeCell ref="D16:E16"/>
    <mergeCell ref="F16:G16"/>
    <mergeCell ref="H16:I16"/>
    <mergeCell ref="J16:K16"/>
    <mergeCell ref="L16:P16"/>
    <mergeCell ref="B13:C13"/>
    <mergeCell ref="D13:E13"/>
    <mergeCell ref="F13:G13"/>
    <mergeCell ref="H13:I13"/>
    <mergeCell ref="J13:K13"/>
    <mergeCell ref="L13:P13"/>
    <mergeCell ref="B14:C14"/>
    <mergeCell ref="D14:E14"/>
    <mergeCell ref="F14:G14"/>
    <mergeCell ref="H14:I14"/>
    <mergeCell ref="J14:K14"/>
    <mergeCell ref="L14:P14"/>
    <mergeCell ref="B11:C11"/>
    <mergeCell ref="D11:E11"/>
    <mergeCell ref="F11:G11"/>
    <mergeCell ref="H11:I11"/>
    <mergeCell ref="J11:K11"/>
    <mergeCell ref="L11:P11"/>
    <mergeCell ref="B12:C12"/>
    <mergeCell ref="D12:E12"/>
    <mergeCell ref="F12:G12"/>
    <mergeCell ref="H12:I12"/>
    <mergeCell ref="J12:K12"/>
    <mergeCell ref="L12:P12"/>
    <mergeCell ref="B7:C7"/>
    <mergeCell ref="D7:E7"/>
    <mergeCell ref="F7:G7"/>
    <mergeCell ref="H7:I7"/>
    <mergeCell ref="J7:K7"/>
    <mergeCell ref="B9:P9"/>
    <mergeCell ref="B10:C10"/>
    <mergeCell ref="D10:E10"/>
    <mergeCell ref="F10:G10"/>
    <mergeCell ref="H10:I10"/>
    <mergeCell ref="J10:K10"/>
    <mergeCell ref="L10:M10"/>
    <mergeCell ref="A1:P1"/>
    <mergeCell ref="A2:P2"/>
    <mergeCell ref="B4:P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9" scale="49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C45CBC5C980047B20AF4B7FFF80688" ma:contentTypeVersion="7" ma:contentTypeDescription="Create a new document." ma:contentTypeScope="" ma:versionID="b607df8332124fe4a4820c1376d65b6e">
  <xsd:schema xmlns:xsd="http://www.w3.org/2001/XMLSchema" xmlns:xs="http://www.w3.org/2001/XMLSchema" xmlns:p="http://schemas.microsoft.com/office/2006/metadata/properties" xmlns:ns2="f7c2748f-1ec0-4ee5-a7cd-b4f8ea3f44ab" targetNamespace="http://schemas.microsoft.com/office/2006/metadata/properties" ma:root="true" ma:fieldsID="82692cfccd4cd23afb38b4493d2bcb82" ns2:_="">
    <xsd:import namespace="f7c2748f-1ec0-4ee5-a7cd-b4f8ea3f4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2748f-1ec0-4ee5-a7cd-b4f8ea3f4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94D4C1-24E4-4BB1-8930-5CAE160B5D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70842A-8BA7-415A-8E2D-60EC358CA51A}">
  <ds:schemaRefs>
    <ds:schemaRef ds:uri="f7c2748f-1ec0-4ee5-a7cd-b4f8ea3f44ab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34E594-80B7-4289-813C-749224B09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2748f-1ec0-4ee5-a7cd-b4f8ea3f4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Introduction</vt:lpstr>
      <vt:lpstr>Current_Linear</vt:lpstr>
      <vt:lpstr>1. Repair_Maintain</vt:lpstr>
      <vt:lpstr>2. Resell</vt:lpstr>
      <vt:lpstr>3. Remanufacture</vt:lpstr>
      <vt:lpstr>4. FaaS_Subscription</vt:lpstr>
      <vt:lpstr>Value Case Summary</vt:lpstr>
      <vt:lpstr>Circular Impact Dashboard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Riia Vidgren</cp:lastModifiedBy>
  <cp:revision>9</cp:revision>
  <cp:lastPrinted>2026-06-16T08:31:43Z</cp:lastPrinted>
  <dcterms:created xsi:type="dcterms:W3CDTF">2026-04-28T14:23:51Z</dcterms:created>
  <dcterms:modified xsi:type="dcterms:W3CDTF">2026-06-24T11:08:42Z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e0bcbd-8e50-4f2c-a144-80b90fb0627b_ActionId">
    <vt:lpwstr>becc034d-afae-404a-b7a7-016b888be68d</vt:lpwstr>
  </property>
  <property fmtid="{D5CDD505-2E9C-101B-9397-08002B2CF9AE}" pid="3" name="MSIP_Label_b7e0bcbd-8e50-4f2c-a144-80b90fb0627b_ContentBits">
    <vt:lpwstr>0</vt:lpwstr>
  </property>
  <property fmtid="{D5CDD505-2E9C-101B-9397-08002B2CF9AE}" pid="4" name="MSIP_Label_b7e0bcbd-8e50-4f2c-a144-80b90fb0627b_Enabled">
    <vt:lpwstr>true</vt:lpwstr>
  </property>
  <property fmtid="{D5CDD505-2E9C-101B-9397-08002B2CF9AE}" pid="5" name="MSIP_Label_b7e0bcbd-8e50-4f2c-a144-80b90fb0627b_Method">
    <vt:lpwstr>Privileged</vt:lpwstr>
  </property>
  <property fmtid="{D5CDD505-2E9C-101B-9397-08002B2CF9AE}" pid="6" name="MSIP_Label_b7e0bcbd-8e50-4f2c-a144-80b90fb0627b_Name">
    <vt:lpwstr>98eedc09-d1d8-4a43-9532-8a1f1a2bd905</vt:lpwstr>
  </property>
  <property fmtid="{D5CDD505-2E9C-101B-9397-08002B2CF9AE}" pid="7" name="MSIP_Label_b7e0bcbd-8e50-4f2c-a144-80b90fb0627b_SetDate">
    <vt:lpwstr>2026-05-04T07:55:53Z</vt:lpwstr>
  </property>
  <property fmtid="{D5CDD505-2E9C-101B-9397-08002B2CF9AE}" pid="8" name="MSIP_Label_b7e0bcbd-8e50-4f2c-a144-80b90fb0627b_SiteId">
    <vt:lpwstr>f0c6a041-90a2-4a87-8c82-4c8c17312ba2</vt:lpwstr>
  </property>
  <property fmtid="{D5CDD505-2E9C-101B-9397-08002B2CF9AE}" pid="9" name="MSIP_Label_b7e0bcbd-8e50-4f2c-a144-80b90fb0627b_Tag">
    <vt:lpwstr>10, 0, 1, 1</vt:lpwstr>
  </property>
  <property fmtid="{D5CDD505-2E9C-101B-9397-08002B2CF9AE}" pid="10" name="ContentTypeId">
    <vt:lpwstr>0x010100BDC45CBC5C980047B20AF4B7FFF80688</vt:lpwstr>
  </property>
</Properties>
</file>